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ACT INFORMATION" sheetId="1" r:id="rId4"/>
    <sheet state="visible" name="REPORT 1" sheetId="2" r:id="rId5"/>
    <sheet state="visible" name="REPORT 3" sheetId="3" r:id="rId6"/>
    <sheet state="visible" name="ARREST REPORT" sheetId="4" r:id="rId7"/>
    <sheet state="visible" name="TREND ANALYSIS" sheetId="5" r:id="rId8"/>
    <sheet state="visible" name="EXPENDITURE DETAILS" sheetId="6" r:id="rId9"/>
    <sheet state="visible" name="Addl EXPENDITURE DETAILS" sheetId="7" r:id="rId10"/>
    <sheet state="hidden" name="BSCC USE ONLY REPORT TOTALS " sheetId="8" r:id="rId11"/>
    <sheet state="hidden" name="Drop Down List for Exp Cats" sheetId="9" r:id="rId12"/>
    <sheet state="hidden" name="YOBG-FUNDED ASSESSMENTS" sheetId="10" r:id="rId13"/>
    <sheet state="hidden" name="STRATEGY FOR REALIGNED YOUTH" sheetId="11" r:id="rId14"/>
    <sheet state="hidden" name="OTHER" sheetId="12" r:id="rId15"/>
    <sheet state="hidden" name="Data" sheetId="13" r:id="rId16"/>
    <sheet state="hidden" name="Data2" sheetId="14" r:id="rId17"/>
    <sheet state="hidden" name="Data3" sheetId="15" r:id="rId18"/>
    <sheet state="hidden" name="tables" sheetId="16" r:id="rId19"/>
    <sheet state="hidden" name="ImportData" sheetId="17" r:id="rId20"/>
    <sheet state="hidden" name="ImportData2" sheetId="18" r:id="rId21"/>
    <sheet state="hidden" name="ImportData3" sheetId="19" r:id="rId22"/>
  </sheets>
  <definedNames>
    <definedName name="primarytitle">'CONTACT INFORMATION'!$F$27</definedName>
    <definedName name="t10other3">#REF!</definedName>
    <definedName name="Numcodet8">#REF!</definedName>
    <definedName name="Chieffax">#REF!</definedName>
    <definedName name="t7funds">#REF!</definedName>
    <definedName name="t9youth6">#REF!</definedName>
    <definedName name="t8other2">#REF!</definedName>
    <definedName name="t8other3">#REF!</definedName>
    <definedName name="othrassessmentname3">'YOBG-FUNDED ASSESSMENTS'!$C$21</definedName>
    <definedName name="Chief">#REF!</definedName>
    <definedName name="t4cap">#REF!</definedName>
    <definedName name="t8other1">#REF!</definedName>
    <definedName name="Address">#REF!</definedName>
    <definedName name="prepfax">'CONTACT INFORMATION'!$D$29</definedName>
    <definedName name="t1barrier">#REF!</definedName>
    <definedName name="t1youth4">#REF!</definedName>
    <definedName name="t10jjcpaequip">#REF!</definedName>
    <definedName name="primemail">'CONTACT INFORMATION'!$D$29</definedName>
    <definedName name="t7yobgothr3">#REF!</definedName>
    <definedName name="t2otherprof">#REF!</definedName>
    <definedName name="t8goal">#REF!</definedName>
    <definedName name="t10jjcpaothr1">#REF!</definedName>
    <definedName name="t1other2">'EXPENDITURE DETAILS'!$A$140</definedName>
    <definedName name="t8yobgsrv">#REF!</definedName>
    <definedName name="t10jjcpaserv">#REF!</definedName>
    <definedName name="t5jjcpaadmin">#REF!</definedName>
    <definedName name="t5otherserv">#REF!</definedName>
    <definedName name="t2nar">#REF!</definedName>
    <definedName name="t9barrier">#REF!</definedName>
    <definedName name="t2location">#REF!</definedName>
    <definedName name="othrassess1">'YOBG-FUNDED ASSESSMENTS'!$I$19</definedName>
    <definedName name="t9nar">#REF!</definedName>
    <definedName name="t6goal">#REF!</definedName>
    <definedName name="t9yobgpercap">#REF!</definedName>
    <definedName name="t1youth6">#REF!</definedName>
    <definedName name="t3cap">#REF!</definedName>
    <definedName name="t10location">#REF!</definedName>
    <definedName name="t6jjcpaothr3">#REF!</definedName>
    <definedName name="t5yobgpercap">#REF!</definedName>
    <definedName name="t4totpercap">#REF!</definedName>
    <definedName name="t3youth4">#REF!</definedName>
    <definedName name="t6yobgprof">#REF!</definedName>
    <definedName name="t6casecount">#REF!</definedName>
    <definedName name="t6jjcpaothr2">#REF!</definedName>
    <definedName name="t5otherothr1">#REF!</definedName>
    <definedName name="t2yobgothr2">#REF!</definedName>
    <definedName name="t3ebp">#REF!</definedName>
    <definedName name="t8otherserv">#REF!</definedName>
    <definedName name="t2jjcpatot">#REF!</definedName>
    <definedName name="t9othercbo">#REF!</definedName>
    <definedName name="t2otherothr3">#REF!</definedName>
    <definedName name="t10barrier">#REF!</definedName>
    <definedName name="t10jjcpaadmin">#REF!</definedName>
    <definedName name="t3youth2">#REF!</definedName>
    <definedName name="Numcodet4">#REF!</definedName>
    <definedName name="t3funds">#REF!</definedName>
    <definedName name="t10totpercap">#REF!</definedName>
    <definedName name="t5totpercap">#REF!</definedName>
    <definedName name="Numcodet10">#REF!</definedName>
    <definedName name="secemail">'CONTACT INFORMATION'!$D$34</definedName>
    <definedName name="t2yobgtot">#REF!</definedName>
    <definedName name="t10otherprof">#REF!</definedName>
    <definedName name="tot4yrall">#REF!</definedName>
    <definedName name="t9yobgothr1">#REF!</definedName>
    <definedName name="t2numcode">#REF!</definedName>
    <definedName name="ZIP">#REF!</definedName>
    <definedName name="JJCPAt3">#REF!</definedName>
    <definedName name="Othert8">#REF!</definedName>
    <definedName name="t8otherequip">#REF!</definedName>
    <definedName name="COMPAS">'YOBG-FUNDED ASSESSMENTS'!$I$10</definedName>
    <definedName name="t7yobgothr1">#REF!</definedName>
    <definedName name="t10numcode">#REF!</definedName>
    <definedName name="t3totpercap">#REF!</definedName>
    <definedName name="t1progname">#REF!</definedName>
    <definedName name="t10jjcpasal">#REF!</definedName>
    <definedName name="secphone">'CONTACT INFORMATION'!$A$34</definedName>
    <definedName name="t3othersal">#REF!</definedName>
    <definedName name="t2progname">#REF!</definedName>
    <definedName name="fy1314all">#REF!</definedName>
    <definedName name="t4youth2">#REF!</definedName>
    <definedName name="t2jjcpaadmin">#REF!</definedName>
    <definedName name="t3barrier">#REF!</definedName>
    <definedName name="t1jjcpaadmin">'EXPENDITURE DETAILS'!$G$137</definedName>
    <definedName name="t2otheradmin">#REF!</definedName>
    <definedName name="t2jjcpasal">#REF!</definedName>
    <definedName name="t1desciption">#REF!</definedName>
    <definedName name="t2jjcpacbo">#REF!</definedName>
    <definedName name="t1yobgsal">'EXPENDITURE DETAILS'!$E$132</definedName>
    <definedName name="Numcodet7">#REF!</definedName>
    <definedName name="t3yobgadmin">#REF!</definedName>
    <definedName name="t2youth3">#REF!</definedName>
    <definedName name="Numecodet1">#REF!</definedName>
    <definedName name="t4casecount">#REF!</definedName>
    <definedName name="t2yobgpercap">#REF!</definedName>
    <definedName name="Othert2">#REF!</definedName>
    <definedName name="t7otherothr2">#REF!</definedName>
    <definedName name="t10otherothr2">#REF!</definedName>
    <definedName name="t7yobgtot">#REF!</definedName>
    <definedName name="t2barrier">#REF!</definedName>
    <definedName name="stratplan">'STRATEGY FOR REALIGNED YOUTH'!$A$41</definedName>
    <definedName name="t3prognamealt">#REF!</definedName>
    <definedName name="t4yobgpercap">#REF!</definedName>
    <definedName name="t6jjcpasal">#REF!</definedName>
    <definedName name="othrassessmentname1">'YOBG-FUNDED ASSESSMENTS'!$C$19</definedName>
    <definedName name="primcontact">'CONTACT INFORMATION'!$A$27</definedName>
    <definedName name="t3jjcpasal">#REF!</definedName>
    <definedName name="t3numcode">#REF!</definedName>
    <definedName name="t1yobgserv">'EXPENDITURE DETAILS'!$E$133</definedName>
    <definedName name="t6otherequip">#REF!</definedName>
    <definedName name="t8yobgserv">#REF!</definedName>
    <definedName name="t1totpercap">#REF!</definedName>
    <definedName name="t8youth1">#REF!</definedName>
    <definedName name="Numealtt5">#REF!</definedName>
    <definedName name="t1other3">'EXPENDITURE DETAILS'!$A$141</definedName>
    <definedName name="Numealtt10">#REF!</definedName>
    <definedName name="t1yobgothr3">'EXPENDITURE DETAILS'!$E$141</definedName>
    <definedName name="fy0809all">#REF!</definedName>
    <definedName name="t6youth1">#REF!</definedName>
    <definedName name="t7prognamealt">#REF!</definedName>
    <definedName name="t2jjcpaothr3">#REF!</definedName>
    <definedName name="Numecodet6">#REF!</definedName>
    <definedName name="t5nar">#REF!</definedName>
    <definedName name="JJCPAt8">#REF!</definedName>
    <definedName name="Numecodet9">#REF!</definedName>
    <definedName name="t9youth3">#REF!</definedName>
    <definedName name="t3youth3">#REF!</definedName>
    <definedName name="t1location">#REF!</definedName>
    <definedName name="t10youth6">#REF!</definedName>
    <definedName name="LSIR">'YOBG-FUNDED ASSESSMENTS'!$I$12</definedName>
    <definedName name="othrassessmentname4">'YOBG-FUNDED ASSESSMENTS'!$C$22</definedName>
    <definedName name="t1jjcpasal">'EXPENDITURE DETAILS'!$G$132</definedName>
    <definedName name="Preptitle">#REF!</definedName>
    <definedName name="t3yobgothr1">#REF!</definedName>
    <definedName name="t3jjcpatot">#REF!</definedName>
    <definedName name="t5yobgserv">#REF!</definedName>
    <definedName name="t5other3">#REF!</definedName>
    <definedName name="tibarriers">#REF!</definedName>
    <definedName name="Numecodet3">#REF!</definedName>
    <definedName name="t10casecount">#REF!</definedName>
    <definedName name="stratdif">'STRATEGY FOR REALIGNED YOUTH'!$A$27</definedName>
    <definedName name="t8yobgpercap">#REF!</definedName>
    <definedName name="t8jjcpaothr1">#REF!</definedName>
    <definedName name="t5progname">#REF!</definedName>
    <definedName name="Numecodet8">#REF!</definedName>
    <definedName name="t6jjcpatot">#REF!</definedName>
    <definedName name="t5jjcpatot">#REF!</definedName>
    <definedName name="Numecodet4">#REF!</definedName>
    <definedName name="t9jjcpasal">#REF!</definedName>
    <definedName name="t8location">#REF!</definedName>
    <definedName name="t4jjcpaothr1">#REF!</definedName>
    <definedName name="City2">#REF!</definedName>
    <definedName name="t2yobgprof">#REF!</definedName>
    <definedName name="primphone">'CONTACT INFORMATION'!$A$29</definedName>
    <definedName name="t7otherequip">#REF!</definedName>
    <definedName name="t1otherothr1">'EXPENDITURE DETAILS'!$I$139</definedName>
    <definedName name="t1youth2">#REF!</definedName>
    <definedName name="t4yobgcbo">#REF!</definedName>
    <definedName name="t4barrier">#REF!</definedName>
    <definedName name="t10yobgequip">#REF!</definedName>
    <definedName name="t7otherserv">#REF!</definedName>
    <definedName name="t5yobgothr1">#REF!</definedName>
    <definedName name="t5otherothr3">#REF!</definedName>
    <definedName name="t7jjcpaequip">#REF!</definedName>
    <definedName name="t6yobgothr1">#REF!</definedName>
    <definedName name="t1youth1">#REF!</definedName>
    <definedName name="t9otherothr2">#REF!</definedName>
    <definedName name="t7totpercap">#REF!</definedName>
    <definedName name="t6othercbo">#REF!</definedName>
    <definedName name="t3youth6">#REF!</definedName>
    <definedName name="Chiefemail">#REF!</definedName>
    <definedName name="t8nar">#REF!</definedName>
    <definedName name="t2othercbo">#REF!</definedName>
    <definedName name="seccontact">'CONTACT INFORMATION'!$A$32</definedName>
    <definedName name="t10prognamealt">#REF!</definedName>
    <definedName name="t7yobgothr2">#REF!</definedName>
    <definedName name="t1otherequip">'EXPENDITURE DETAILS'!$I$136</definedName>
    <definedName name="t9youth5">#REF!</definedName>
    <definedName name="t9prognamealt">#REF!</definedName>
    <definedName name="t5othertot">#REF!</definedName>
    <definedName name="Prepemail">'CONTACT INFORMATION'!$G$29</definedName>
    <definedName name="coordnar">OTHER!$A$9</definedName>
    <definedName name="t5otheradmin">#REF!</definedName>
    <definedName name="t8prognamealt">#REF!</definedName>
    <definedName name="t3yobgprof">#REF!</definedName>
    <definedName name="t9jjcpaequip">#REF!</definedName>
    <definedName name="t8jjcpasal">#REF!</definedName>
    <definedName name="t3jjcpaserv">#REF!</definedName>
    <definedName name="t6cap">#REF!</definedName>
    <definedName name="t4youth5">#REF!</definedName>
    <definedName name="t3otherothr1">#REF!</definedName>
    <definedName name="City">#REF!</definedName>
    <definedName name="tot0708allo">#REF!</definedName>
    <definedName name="t7youth6">#REF!</definedName>
    <definedName name="t7cap">#REF!</definedName>
    <definedName name="t1otheradmin">'EXPENDITURE DETAILS'!$I$137</definedName>
    <definedName name="t9jjcpaadmin">#REF!</definedName>
    <definedName name="t5otherothr2">#REF!</definedName>
    <definedName name="t1description">#REF!</definedName>
    <definedName name="t8yobgothr3">#REF!</definedName>
    <definedName name="t6yobgequip">#REF!</definedName>
    <definedName name="t5youth1">#REF!</definedName>
    <definedName name="t9yobgequip">#REF!</definedName>
    <definedName name="t10otherothr1">#REF!</definedName>
    <definedName name="t9otherothr3">#REF!</definedName>
    <definedName name="tot0809all">#REF!</definedName>
    <definedName name="t2ebp">#REF!</definedName>
    <definedName name="t7youth1">#REF!</definedName>
    <definedName name="Othert10">#REF!</definedName>
    <definedName name="t8progname">#REF!</definedName>
    <definedName name="Numealtt6">#REF!</definedName>
    <definedName name="t8jjcpaothr3">#REF!</definedName>
    <definedName name="t4yobgequip">#REF!</definedName>
    <definedName name="t6funds">#REF!</definedName>
    <definedName name="t5funds">#REF!</definedName>
    <definedName name="t5yobgcbo">#REF!</definedName>
    <definedName name="t6numcode">#REF!</definedName>
    <definedName name="t8otherothr3">#REF!</definedName>
    <definedName name="JJCPAt9">#REF!</definedName>
    <definedName name="t10youth1">#REF!</definedName>
    <definedName name="t9ebp">#REF!</definedName>
    <definedName name="coord2">OTHER!$I$7</definedName>
    <definedName name="asi">'YOBG-FUNDED ASSESSMENTS'!$I$8</definedName>
    <definedName name="t10yobgcbo">#REF!</definedName>
    <definedName name="regional">OTHER!$A$29</definedName>
    <definedName name="Preparer">#REF!</definedName>
    <definedName name="t8youth3">#REF!</definedName>
    <definedName name="t6yobgserv">#REF!</definedName>
    <definedName name="Numealtt4">#REF!</definedName>
    <definedName name="t8otheradmin">#REF!</definedName>
    <definedName name="t3goal">#REF!</definedName>
    <definedName name="Othert3">#REF!</definedName>
    <definedName name="t1yobgothr1">'EXPENDITURE DETAILS'!$E$139</definedName>
    <definedName name="t5youth2">#REF!</definedName>
    <definedName name="t7youth4">#REF!</definedName>
    <definedName name="t6youth3">#REF!</definedName>
    <definedName name="t7jjcpacbo">#REF!</definedName>
    <definedName name="t8cap">#REF!</definedName>
    <definedName name="t7other2">#REF!</definedName>
    <definedName name="t10yobgpercap">#REF!</definedName>
    <definedName name="t6barrier">#REF!</definedName>
    <definedName name="t10other2">#REF!</definedName>
    <definedName name="t9jjcpaothr3">#REF!</definedName>
    <definedName name="t10yobgothr1">#REF!</definedName>
    <definedName name="t7jjcpaothr1">#REF!</definedName>
    <definedName name="t4youth3">#REF!</definedName>
    <definedName name="fy1213all">#REF!</definedName>
    <definedName name="t1prognamealt">#REF!</definedName>
    <definedName name="Numcodet6">#REF!</definedName>
    <definedName name="t10cap">#REF!</definedName>
    <definedName name="t5prognamealt">#REF!</definedName>
    <definedName name="t3yobgothr3">#REF!</definedName>
    <definedName name="t7jjcpaserv">#REF!</definedName>
    <definedName name="t1yobgothr2">'EXPENDITURE DETAILS'!$E$140</definedName>
    <definedName name="t2other2">#REF!</definedName>
    <definedName name="t6other2">#REF!</definedName>
    <definedName name="t8youth4">#REF!</definedName>
    <definedName name="t2jjcpaequip">#REF!</definedName>
    <definedName name="t1otherserv">'EXPENDITURE DETAILS'!$I$133</definedName>
    <definedName name="seccontitle">'CONTACT INFORMATION'!$F$32</definedName>
    <definedName name="Othert6">#REF!</definedName>
    <definedName name="t1jjcpacbo">'EXPENDITURE DETAILS'!$G$135</definedName>
    <definedName name="t2prognamealt">#REF!</definedName>
    <definedName name="t3jjcpacbo">#REF!</definedName>
    <definedName name="t3jjcpaothr2">#REF!</definedName>
    <definedName name="t9yobgserv">#REF!</definedName>
    <definedName name="t5other1">#REF!</definedName>
    <definedName name="discexpl">#REF!</definedName>
    <definedName name="Numcodet1">#REF!</definedName>
    <definedName name="t2othersal">#REF!</definedName>
    <definedName name="t3youth5">#REF!</definedName>
    <definedName name="t9other3">#REF!</definedName>
    <definedName name="t5othersal">#REF!</definedName>
    <definedName name="t4yobgserv">#REF!</definedName>
    <definedName name="t6jjcpaprof">#REF!</definedName>
    <definedName name="t3other3">#REF!</definedName>
    <definedName name="t7othersal">#REF!</definedName>
    <definedName name="t8yobgequip">#REF!</definedName>
    <definedName name="Othert5">#REF!</definedName>
    <definedName name="t1yobgadmin">'EXPENDITURE DETAILS'!$E$137</definedName>
    <definedName name="t1jjcpaothr2">'EXPENDITURE DETAILS'!$G$140</definedName>
    <definedName name="Numecodet5">#REF!</definedName>
    <definedName name="t3otherequip">#REF!</definedName>
    <definedName name="t1jjcpaserv">'EXPENDITURE DETAILS'!$G$133</definedName>
    <definedName name="Numecodet2">#REF!</definedName>
    <definedName name="othrassess2">'YOBG-FUNDED ASSESSMENTS'!$I$20</definedName>
    <definedName name="t6othersal">#REF!</definedName>
    <definedName name="Numealtt9">#REF!</definedName>
    <definedName name="t4jjcpaothr3">#REF!</definedName>
    <definedName name="t4jjcpaadmin">#REF!</definedName>
    <definedName name="t9jjcpaothr2">#REF!</definedName>
    <definedName name="t10otheradmin">#REF!</definedName>
    <definedName name="t3yobgequip">#REF!</definedName>
    <definedName name="t9youth4">#REF!</definedName>
    <definedName name="t9jjcpacbo">#REF!</definedName>
    <definedName name="t2youth4">#REF!</definedName>
    <definedName name="t8otherprof">#REF!</definedName>
    <definedName name="Numealtt8">#REF!</definedName>
    <definedName name="NIC">'YOBG-FUNDED ASSESSMENTS'!$I$15</definedName>
    <definedName name="Youthtype">tables!$G$24:$G$42</definedName>
    <definedName name="RRC">'YOBG-FUNDED ASSESSMENTS'!$I$17</definedName>
    <definedName name="Chiefphone">#REF!</definedName>
    <definedName name="Numcodet9">#REF!</definedName>
    <definedName name="t7othercbo">#REF!</definedName>
    <definedName name="Numealtt3">#REF!</definedName>
    <definedName name="t7otherprof">#REF!</definedName>
    <definedName name="t5jjcpaequip">#REF!</definedName>
    <definedName name="t7youth3">#REF!</definedName>
    <definedName name="t5jjcpacbo">#REF!</definedName>
    <definedName name="t5yobgequip">#REF!</definedName>
    <definedName name="t4location">#REF!</definedName>
    <definedName name="fy1112all">#REF!</definedName>
    <definedName name="t5jjcpasal">#REF!</definedName>
    <definedName name="t2other1">#REF!</definedName>
    <definedName name="MAYSI">'YOBG-FUNDED ASSESSMENTS'!$I$14</definedName>
    <definedName name="t7numcode">#REF!</definedName>
    <definedName name="t1othertot">'EXPENDITURE DETAILS'!$I$142</definedName>
    <definedName name="t10youth5">#REF!</definedName>
    <definedName name="t1youth3">#REF!</definedName>
    <definedName name="t6yobgtot">#REF!</definedName>
    <definedName name="t4youth1">#REF!</definedName>
    <definedName name="Expcat">tables!$B$1:$B$52</definedName>
    <definedName name="t3casecount">#REF!</definedName>
    <definedName name="t6otherothr2">#REF!</definedName>
    <definedName name="t6ebp">#REF!</definedName>
    <definedName name="t2youth1">#REF!</definedName>
    <definedName name="Expenditures">'Drop Down List for Exp Cats'!$A$1:$A$50</definedName>
    <definedName name="t6otherprof">#REF!</definedName>
    <definedName name="t10othersal">#REF!</definedName>
    <definedName name="t6yobgothr3">#REF!</definedName>
    <definedName name="Numecodet7">#REF!</definedName>
    <definedName name="t8othersal">#REF!</definedName>
    <definedName name="strategy">'STRATEGY FOR REALIGNED YOUTH'!$H$7</definedName>
    <definedName name="coord1">OTHER!$I$6</definedName>
    <definedName name="t10jjcpaothr2">#REF!</definedName>
    <definedName name="Othert1">#REF!</definedName>
    <definedName name="t2yobgadmin">#REF!</definedName>
    <definedName name="t4jjcpaequip">#REF!</definedName>
    <definedName name="t4othercbo">#REF!</definedName>
    <definedName name="t9yobgothr2">#REF!</definedName>
    <definedName name="t10yobgtot">#REF!</definedName>
    <definedName name="t4jjcpaserv">#REF!</definedName>
    <definedName name="name">#REF!</definedName>
    <definedName name="t4otherothr1">#REF!</definedName>
    <definedName name="t7youth5">#REF!</definedName>
    <definedName name="t7yobgprof">#REF!</definedName>
    <definedName name="t1yobgtot">'EXPENDITURE DETAILS'!$E$142</definedName>
    <definedName name="t2yobgothr1">#REF!</definedName>
    <definedName name="t5yobgtot">#REF!</definedName>
    <definedName name="Numecodet10">#REF!</definedName>
    <definedName name="t7youth2">#REF!</definedName>
    <definedName name="JJCPAt5">#REF!</definedName>
    <definedName name="t8jjcpaprof">#REF!</definedName>
    <definedName name="t3location">#REF!</definedName>
    <definedName name="t5youth3">#REF!</definedName>
    <definedName name="t4jjcpasal">#REF!</definedName>
    <definedName name="County">'CONTACT INFORMATION'!$A$24</definedName>
    <definedName name="t4other3">#REF!</definedName>
    <definedName name="t4othersal">#REF!</definedName>
    <definedName name="t5barrier">#REF!</definedName>
    <definedName name="t7yobgpercap">#REF!</definedName>
    <definedName name="t5jjcpaothr3">#REF!</definedName>
    <definedName name="t10othertot">#REF!</definedName>
    <definedName name="t3other2">#REF!</definedName>
    <definedName name="JJCPAt4">#REF!</definedName>
    <definedName name="t4youth6">#REF!</definedName>
    <definedName name="t6yobgcbo">#REF!</definedName>
    <definedName name="Numealtt1">#REF!</definedName>
    <definedName name="t5numcode">#REF!</definedName>
    <definedName name="t3otheradmin">#REF!</definedName>
    <definedName name="t6youth6">#REF!</definedName>
    <definedName name="t9casecount">#REF!</definedName>
    <definedName name="t5jjcpaothr1">#REF!</definedName>
    <definedName name="t4otherserv">#REF!</definedName>
    <definedName name="t2jjcpaothr2">#REF!</definedName>
    <definedName name="t7ebp">#REF!</definedName>
    <definedName name="t4jjcpacbo">#REF!</definedName>
    <definedName name="Address2">#REF!</definedName>
    <definedName name="JJCPAt2">#REF!</definedName>
    <definedName name="t8otherothr1">#REF!</definedName>
    <definedName name="t10othercbo">#REF!</definedName>
    <definedName name="t10ebp">#REF!</definedName>
    <definedName name="t10youth4">#REF!</definedName>
    <definedName name="Othert4">#REF!</definedName>
    <definedName name="t8othersbo">#REF!</definedName>
    <definedName name="t8jjcpacbo">#REF!</definedName>
    <definedName name="t9jjcpaprof">#REF!</definedName>
    <definedName name="t2yobgsal">#REF!</definedName>
    <definedName name="t7yobgsal">#REF!</definedName>
    <definedName name="t5youth6">#REF!</definedName>
    <definedName name="t3otherothr3">#REF!</definedName>
    <definedName name="t8ebp">#REF!</definedName>
    <definedName name="t4youth4">#REF!</definedName>
    <definedName name="t6nar">#REF!</definedName>
    <definedName name="t3jjcpaothr1">#REF!</definedName>
    <definedName name="t4nar">#REF!</definedName>
    <definedName name="Instructions">#REF!</definedName>
    <definedName name="t5yobgadmin">#REF!</definedName>
    <definedName name="t1yobgprof">'EXPENDITURE DETAILS'!$E$134</definedName>
    <definedName name="fy1011all">#REF!</definedName>
    <definedName name="t1yobgcbo">'EXPENDITURE DETAILS'!$E$135</definedName>
    <definedName name="t3other1">#REF!</definedName>
    <definedName name="t4yobgtot">#REF!</definedName>
    <definedName name="t4ebp">#REF!</definedName>
    <definedName name="t6yobgsal">#REF!</definedName>
    <definedName name="t8numcode">#REF!</definedName>
    <definedName name="t2funds">#REF!</definedName>
    <definedName name="Chiefemail2">#REF!</definedName>
    <definedName name="t1funds">#REF!</definedName>
    <definedName name="t6othertot">#REF!</definedName>
    <definedName name="t3yobgsal">#REF!</definedName>
    <definedName name="t5otherprof">#REF!</definedName>
    <definedName name="t9othertot">#REF!</definedName>
    <definedName name="t9location">#REF!</definedName>
    <definedName name="t2jjcpaothr1">#REF!</definedName>
    <definedName name="t1casecount">#REF!</definedName>
    <definedName name="t8yobgothr2">#REF!</definedName>
    <definedName name="t3yobgtot">#REF!</definedName>
    <definedName name="descrepancies">#REF!</definedName>
    <definedName name="tot3yrall">#REF!</definedName>
    <definedName name="t9otherprof">#REF!</definedName>
    <definedName name="t9otherequip">#REF!</definedName>
    <definedName name="t7other1">#REF!</definedName>
    <definedName name="t5yobgprof">#REF!</definedName>
    <definedName name="t1nar">#REF!</definedName>
    <definedName name="t4goal">#REF!</definedName>
    <definedName name="t6jjcpaequip">#REF!</definedName>
    <definedName name="t8youth5">#REF!</definedName>
    <definedName name="Click_on_the_box_to_enter_or_edit_your_response.">#REF!</definedName>
    <definedName name="t10nar">#REF!</definedName>
    <definedName name="t4numcode">#REF!</definedName>
    <definedName name="t6yobgadmin">#REF!</definedName>
    <definedName name="t2jjcpaprof">#REF!</definedName>
    <definedName name="t10yobgserv">#REF!</definedName>
    <definedName name="t4otherothr3">#REF!</definedName>
    <definedName name="t7yobgcbo">#REF!</definedName>
    <definedName name="t7progname">#REF!</definedName>
    <definedName name="t8yobgcbo">#REF!</definedName>
    <definedName name="t10progname">#REF!</definedName>
    <definedName name="t9yobgadmin">#REF!</definedName>
    <definedName name="othrassess3">'YOBG-FUNDED ASSESSMENTS'!$I$21</definedName>
    <definedName name="t2yobgothr3">#REF!</definedName>
    <definedName name="t4otherothr2">#REF!</definedName>
    <definedName name="t1otherothr2">'EXPENDITURE DETAILS'!$I$140</definedName>
    <definedName name="t6otheradmin">#REF!</definedName>
    <definedName name="t3otherprof">#REF!</definedName>
    <definedName name="t5location">#REF!</definedName>
    <definedName name="t1jjcpaothr3">'EXPENDITURE DETAILS'!$G$141</definedName>
    <definedName name="t3nar">#REF!</definedName>
    <definedName name="Counties">tables!$D$1:$D$58</definedName>
    <definedName name="t8funds">#REF!</definedName>
    <definedName name="t6jjcpaothr1">#REF!</definedName>
    <definedName name="t9jjcpaserv">#REF!</definedName>
    <definedName name="t3jjcpaequip">#REF!</definedName>
    <definedName name="t1cap">#REF!</definedName>
    <definedName name="t7jjcpaothr3">#REF!</definedName>
    <definedName name="_Tot1">'EXPENDITURE DETAILS'!$E$142</definedName>
    <definedName name="t2youth6">#REF!</definedName>
    <definedName name="t7yobgadmin">#REF!</definedName>
    <definedName name="t9jjcpatot">#REF!</definedName>
    <definedName name="t4yobgothr3">#REF!</definedName>
    <definedName name="t9other1">#REF!</definedName>
    <definedName name="t1jjcpaequip">'EXPENDITURE DETAILS'!$G$136</definedName>
    <definedName name="t9other2">#REF!</definedName>
    <definedName name="t6jjcpaserv">#REF!</definedName>
    <definedName name="t3otherothr2">#REF!</definedName>
    <definedName name="t8jjcpaothr2">#REF!</definedName>
    <definedName name="t4yobgothr1">#REF!</definedName>
    <definedName name="t1jjcpatot">'EXPENDITURE DETAILS'!$G$142</definedName>
    <definedName name="JAIS">'YOBG-FUNDED ASSESSMENTS'!$I$11</definedName>
    <definedName name="t10yobgprof">#REF!</definedName>
    <definedName name="totforall">#REF!</definedName>
    <definedName name="t5jjcpaserv">#REF!</definedName>
    <definedName name="t10jjcpacbo">#REF!</definedName>
    <definedName name="tinumcode">#REF!</definedName>
    <definedName name="YLSCMI">'YOBG-FUNDED ASSESSMENTS'!$I$18</definedName>
    <definedName name="t9funds">#REF!</definedName>
    <definedName name="t9yobgsal">#REF!</definedName>
    <definedName name="t6youth4">#REF!</definedName>
    <definedName name="Chief2">#REF!</definedName>
    <definedName name="t3yobgcbo">#REF!</definedName>
    <definedName name="t3yobgothr2">#REF!</definedName>
    <definedName name="t6progname">#REF!</definedName>
    <definedName name="Numealtt7">#REF!</definedName>
    <definedName name="t5yobgothr2">#REF!</definedName>
    <definedName name="t3yobgpercap">#REF!</definedName>
    <definedName name="t10other1">#REF!</definedName>
    <definedName name="preemail">'CONTACT INFORMATION'!$D$29</definedName>
    <definedName name="t7otheradmin">#REF!</definedName>
    <definedName name="t2otherothr1">#REF!</definedName>
    <definedName name="t4other2">#REF!</definedName>
    <definedName name="t9yobgprof">#REF!</definedName>
    <definedName name="t4jjcpaothr2">#REF!</definedName>
    <definedName name="Numcodet3">#REF!</definedName>
    <definedName name="t6youth2">#REF!</definedName>
    <definedName name="t5youth4">#REF!</definedName>
    <definedName name="t4otherprof">#REF!</definedName>
    <definedName name="t8yobgtot">#REF!</definedName>
    <definedName name="t6other3">#REF!</definedName>
    <definedName name="t1othercbo">'EXPENDITURE DETAILS'!$I$135</definedName>
    <definedName name="t8totpercap">#REF!</definedName>
    <definedName name="t3jjcpaprof">#REF!</definedName>
    <definedName name="JJCPAt6">#REF!</definedName>
    <definedName name="t2totpercap">#REF!</definedName>
    <definedName name="othrassess4">'YOBG-FUNDED ASSESSMENTS'!$I$22</definedName>
    <definedName name="t2jjcpaserv">#REF!</definedName>
    <definedName name="YESNO">tables!$F$24:$F$25</definedName>
    <definedName name="t9jjcpaothr1">#REF!</definedName>
    <definedName name="t1youth5">#REF!</definedName>
    <definedName name="t10yobgothr3">#REF!</definedName>
    <definedName name="t2youth2">#REF!</definedName>
    <definedName name="discrep">#REF!</definedName>
    <definedName name="t7goal">#REF!</definedName>
    <definedName name="t2cap">#REF!</definedName>
    <definedName name="t9yobgothr3">#REF!</definedName>
    <definedName name="t3otherserv">#REF!</definedName>
    <definedName name="t10jjcpatot">#REF!</definedName>
    <definedName name="t8yobgsal">#REF!</definedName>
    <definedName name="t9otherserv">#REF!</definedName>
    <definedName name="t8jjcpaequip">#REF!</definedName>
    <definedName name="t7otherothr3">#REF!</definedName>
    <definedName name="t5other2">#REF!</definedName>
    <definedName name="t5jjcpaothr2">#REF!</definedName>
    <definedName name="t6location">#REF!</definedName>
    <definedName name="Othert7">#REF!</definedName>
    <definedName name="t6yobgpercap">#REF!</definedName>
    <definedName name="t1jjcpaothr1">'EXPENDITURE DETAILS'!$G$139</definedName>
    <definedName name="stratdf">'STRATEGY FOR REALIGNED YOUTH'!$A$27</definedName>
    <definedName name="t7jjcpaprof">#REF!</definedName>
    <definedName name="t9otherothr1">#REF!</definedName>
    <definedName name="t8barrier">#REF!</definedName>
    <definedName name="t6otherothr3">#REF!</definedName>
    <definedName name="t6youth5">#REF!</definedName>
    <definedName name="Reportdate">'CONTACT INFORMATION'!$F$24</definedName>
    <definedName name="t5ebp">#REF!</definedName>
    <definedName name="t1yobgequip">'EXPENDITURE DETAILS'!$E$136</definedName>
    <definedName name="t8jjcpatot">#REF!</definedName>
    <definedName name="t10youth2">#REF!</definedName>
    <definedName name="t2yobgcbo">#REF!</definedName>
    <definedName name="t5youth5">#REF!</definedName>
    <definedName name="t9otheradmin">#REF!</definedName>
    <definedName name="t4funds">#REF!</definedName>
    <definedName name="t2otherserv">#REF!</definedName>
    <definedName name="t10otherequip">#REF!</definedName>
    <definedName name="t4prognamealt">#REF!</definedName>
    <definedName name="t7jjcpasal">#REF!</definedName>
    <definedName name="t1otherprof">'EXPENDITURE DETAILS'!$I$134</definedName>
    <definedName name="t2casecount">#REF!</definedName>
    <definedName name="t9cap">#REF!</definedName>
    <definedName name="t8yobgadmin">#REF!</definedName>
    <definedName name="t2yobgserv">#REF!</definedName>
    <definedName name="t1otherothr3">'EXPENDITURE DETAILS'!$I$141</definedName>
    <definedName name="t7nar">#REF!</definedName>
    <definedName name="t10youth3">#REF!</definedName>
    <definedName name="t1yobgpercap">#REF!</definedName>
    <definedName name="t9goal">#REF!</definedName>
    <definedName name="t6other1">#REF!</definedName>
    <definedName name="Numcodet2">#REF!</definedName>
    <definedName name="t1numcode">'EXPENDITURE DETAILS'!$G$128</definedName>
    <definedName name="t4otherequip">#REF!</definedName>
    <definedName name="t7barrier">#REF!</definedName>
    <definedName name="t5yobgothr3">#REF!</definedName>
    <definedName name="stratnar">'STRATEGY FOR REALIGNED YOUTH'!$A$10</definedName>
    <definedName name="t8youth2">#REF!</definedName>
    <definedName name="t5otherequip">#REF!</definedName>
    <definedName name="othrassessmentname2">'YOBG-FUNDED ASSESSMENTS'!$C$20</definedName>
    <definedName name="t8casecount">#REF!</definedName>
    <definedName name="t4progname">#REF!</definedName>
    <definedName name="t10yobgothr2">#REF!</definedName>
    <definedName name="t4otheradmin">#REF!</definedName>
    <definedName name="t5goal">#REF!</definedName>
    <definedName name="t10otherserv">#REF!</definedName>
    <definedName name="t5jjcpaprof">#REF!</definedName>
    <definedName name="t4jjcpatot">#REF!</definedName>
    <definedName name="t8jjcpaadmin">#REF!</definedName>
    <definedName name="t4othertot">#REF!</definedName>
    <definedName name="t3progname">#REF!</definedName>
    <definedName name="t5othercbo">#REF!</definedName>
    <definedName name="t9progname">#REF!</definedName>
    <definedName name="t9yobgtot">#REF!</definedName>
    <definedName name="t4yobgprof">#REF!</definedName>
    <definedName name="t4jjcpaprof">#REF!</definedName>
    <definedName name="t1ebp">#REF!</definedName>
    <definedName name="MAYSI2">'YOBG-FUNDED ASSESSMENTS'!$I$13</definedName>
    <definedName name="t8jjcpaserv">#REF!</definedName>
    <definedName name="t3othertot">#REF!</definedName>
    <definedName name="tot0910all">#REF!</definedName>
    <definedName name="t6jjcpacbo">#REF!</definedName>
    <definedName name="t3othercbo">#REF!</definedName>
    <definedName name="t1jjcpaprof">'EXPENDITURE DETAILS'!$G$134</definedName>
    <definedName name="t6otherserv">#REF!</definedName>
    <definedName name="t3jjcpaothr3">#REF!</definedName>
    <definedName name="t7other3">#REF!</definedName>
    <definedName name="JJCPAt7">#REF!</definedName>
    <definedName name="t2otherothr2">#REF!</definedName>
    <definedName name="t8yobgprof">#REF!</definedName>
    <definedName name="fy0910all">#REF!</definedName>
    <definedName name="Numcodet5">#REF!</definedName>
    <definedName name="JJCPAt1">#REF!</definedName>
    <definedName name="fy0708all">#REF!</definedName>
    <definedName name="t4yobgsal">#REF!</definedName>
    <definedName name="t2goal">#REF!</definedName>
    <definedName name="t6yobgothr2">#REF!</definedName>
    <definedName name="t3jjcpaadmin">#REF!</definedName>
    <definedName name="t9yobgcbo">#REF!</definedName>
    <definedName name="t1other1">'EXPENDITURE DETAILS'!$A$139</definedName>
    <definedName name="t7yobgserv">#REF!</definedName>
    <definedName name="t7location">#REF!</definedName>
    <definedName name="t7otherothr1">#REF!</definedName>
    <definedName name="t9youth1">#REF!</definedName>
    <definedName name="t8youth6">#REF!</definedName>
    <definedName name="t6totpercap">#REF!</definedName>
    <definedName name="t1goal">#REF!</definedName>
    <definedName name="t7yobgequip">#REF!</definedName>
    <definedName name="JJCPAt10">#REF!</definedName>
    <definedName name="t2yobgequip">#REF!</definedName>
    <definedName name="t4yobgadmin">#REF!</definedName>
    <definedName name="t2other3">#REF!</definedName>
    <definedName name="bot">'YOBG-FUNDED ASSESSMENTS'!$I$9</definedName>
    <definedName name="t10otherothr3">#REF!</definedName>
    <definedName name="t2otherequip">#REF!</definedName>
    <definedName name="t8othertot">#REF!</definedName>
    <definedName name="t6otherothr1">#REF!</definedName>
    <definedName name="t7othertot">#REF!</definedName>
    <definedName name="t10yobgadmin">#REF!</definedName>
    <definedName name="t7casecount">#REF!</definedName>
    <definedName name="t10goal">#REF!</definedName>
    <definedName name="t7jjcpaothr2">#REF!</definedName>
    <definedName name="t1othersal">'EXPENDITURE DETAILS'!$I$132</definedName>
    <definedName name="t7jjcpaadmin">#REF!</definedName>
    <definedName name="Chiefphone2">#REF!</definedName>
    <definedName name="t4yobgothr2">#REF!</definedName>
    <definedName name="t9numcode">#REF!</definedName>
    <definedName name="Numealtt2">#REF!</definedName>
    <definedName name="t10jjcpaprof">#REF!</definedName>
    <definedName name="t3youth1">#REF!</definedName>
    <definedName name="t4other1">#REF!</definedName>
    <definedName name="t9othersal">#REF!</definedName>
    <definedName name="totyobgexp">#REF!</definedName>
    <definedName name="t5casecount">#REF!</definedName>
    <definedName name="t8yobgothr1">#REF!</definedName>
    <definedName name="PACT">'YOBG-FUNDED ASSESSMENTS'!$I$16</definedName>
    <definedName name="t5yobgsal">#REF!</definedName>
    <definedName name="t5cap">#REF!</definedName>
    <definedName name="t6jjcpaadmin">#REF!</definedName>
    <definedName name="t7jjcpatot">#REF!</definedName>
    <definedName name="discrepancy">#REF!</definedName>
    <definedName name="t6prognamealt">#REF!</definedName>
    <definedName name="t2othertot">#REF!</definedName>
    <definedName name="t10yobgsal">#REF!</definedName>
    <definedName name="t8othercbo">#REF!</definedName>
    <definedName name="Othert9">#REF!</definedName>
    <definedName name="t10funds">#REF!</definedName>
    <definedName name="t9youth2">#REF!</definedName>
    <definedName name="t8otherothr2">#REF!</definedName>
    <definedName name="t10jjcpaothr3">#REF!</definedName>
    <definedName name="t2youth5">#REF!</definedName>
    <definedName name="t9totpercap">#REF!</definedName>
    <definedName name="t3yobgserv">#REF!</definedName>
  </definedNames>
  <calcPr/>
  <extLst>
    <ext uri="GoogleSheetsCustomDataVersion2">
      <go:sheetsCustomData xmlns:go="http://customooxmlschemas.google.com/" r:id="rId23" roundtripDataChecksum="zsfBUy/W94gZnsf5SpaqYGbbXTHxJR/8NRhn+qD51/E="/>
    </ext>
  </extLst>
</workbook>
</file>

<file path=xl/sharedStrings.xml><?xml version="1.0" encoding="utf-8"?>
<sst xmlns="http://schemas.openxmlformats.org/spreadsheetml/2006/main" count="2388" uniqueCount="973">
  <si>
    <t xml:space="preserve">Juvenile Justice Crime Prevention Act - Youthful Offender Block Grant  </t>
  </si>
  <si>
    <t>2024 Expenditure and Data Report</t>
  </si>
  <si>
    <r>
      <rPr>
        <rFont val="Figtree"/>
        <color rgb="FFFFFFFF"/>
        <sz val="12.0"/>
      </rPr>
      <t>Due Date (</t>
    </r>
    <r>
      <rPr>
        <rFont val="Figtree"/>
        <i/>
        <color rgb="FFFFFFFF"/>
        <sz val="12.0"/>
      </rPr>
      <t>on or before</t>
    </r>
    <r>
      <rPr>
        <rFont val="Figtree"/>
        <color rgb="FFFFFFFF"/>
        <sz val="12.0"/>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</si>
  <si>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</si>
  <si>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rPr>
        <rFont val="Figtree"/>
        <b val="0"/>
        <color theme="1"/>
        <sz val="10.0"/>
      </rPr>
      <t>Prior to submitting this report save the file using the following naming convention:</t>
    </r>
    <r>
      <rPr>
        <rFont val="Figtree"/>
        <b/>
        <color theme="1"/>
        <sz val="10.0"/>
      </rPr>
      <t xml:space="preserve"> "(County Name) 2024 JJCPA-YOBG Report." </t>
    </r>
    <r>
      <rPr>
        <rFont val="Figtree"/>
        <b val="0"/>
        <color theme="1"/>
        <sz val="10.0"/>
      </rPr>
      <t>For example, Sacramento County would name its file "Sacramento 202</t>
    </r>
    <r>
      <rPr>
        <rFont val="Figtree"/>
        <b val="0"/>
        <color theme="1"/>
        <sz val="10.0"/>
      </rPr>
      <t>4</t>
    </r>
    <r>
      <rPr>
        <rFont val="Figtree"/>
        <b val="0"/>
        <color rgb="FFFF0000"/>
        <sz val="10.0"/>
      </rPr>
      <t xml:space="preserve"> </t>
    </r>
    <r>
      <rPr>
        <rFont val="Figtree"/>
        <b val="0"/>
        <color theme="1"/>
        <sz val="10.0"/>
      </rPr>
      <t>JJCPA-YOBG Report".</t>
    </r>
  </si>
  <si>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</si>
  <si>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</si>
  <si>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</si>
  <si>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</si>
  <si>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Amador</t>
  </si>
  <si>
    <t>B.  PRIMARY CONTACT</t>
  </si>
  <si>
    <t>NAME</t>
  </si>
  <si>
    <t>TITLE</t>
  </si>
  <si>
    <t>Mark Bonini</t>
  </si>
  <si>
    <t>Chief Probation Officer</t>
  </si>
  <si>
    <t>TELEPHONE NUMBER</t>
  </si>
  <si>
    <t>EMAIL ADDRESS</t>
  </si>
  <si>
    <t>209-223-6397</t>
  </si>
  <si>
    <t>mbonini@amadorgov.org</t>
  </si>
  <si>
    <t>C.  SECONDARY CONTACT (OPTIONAL)</t>
  </si>
  <si>
    <t>James King</t>
  </si>
  <si>
    <t>Unit Supervisor</t>
  </si>
  <si>
    <t>209-223-6455</t>
  </si>
  <si>
    <t>jking@amadorgov.org</t>
  </si>
  <si>
    <t>COMPLETING THE REMAINDER OF THE REPORT:</t>
  </si>
  <si>
    <r>
      <rPr>
        <rFont val="Figtree"/>
        <color theme="1"/>
        <sz val="10.0"/>
      </rPr>
      <t>The report consists of several worksheets. Each worksheet is accessed by clicking on the labeled tabs below. (You are currently in the worksheet titled "</t>
    </r>
    <r>
      <rPr>
        <rFont val="Figtree"/>
        <b/>
        <color theme="1"/>
        <sz val="10.0"/>
      </rPr>
      <t>CONTACT INFORMATION</t>
    </r>
    <r>
      <rPr>
        <rFont val="Figtree"/>
        <color theme="1"/>
        <sz val="10.0"/>
      </rPr>
      <t>".)  Complete the report by providing the information requested in each worksheet.
On the worksheet "</t>
    </r>
    <r>
      <rPr>
        <rFont val="Figtree"/>
        <b/>
        <color theme="1"/>
        <sz val="10.0"/>
      </rPr>
      <t>REPORT 1</t>
    </r>
    <r>
      <rPr>
        <rFont val="Figtree"/>
        <color theme="1"/>
        <sz val="10.0"/>
      </rPr>
      <t>," you will pull data directly from your Juvenile Court &amp; Probation Statistical System (JCPSS) Report 1 that you received from the California Department of Justice (DOJ) for 2023.  Similarly, for the worksheet labeled "</t>
    </r>
    <r>
      <rPr>
        <rFont val="Figtree"/>
        <b/>
        <color theme="1"/>
        <sz val="10.0"/>
      </rPr>
      <t>REPORT 3</t>
    </r>
    <r>
      <rPr>
        <rFont val="Figtree"/>
        <color theme="1"/>
        <sz val="10.0"/>
      </rPr>
      <t>," you will pull information directly from your 2023 JCPSS Report 3. On the worksheet "</t>
    </r>
    <r>
      <rPr>
        <rFont val="Figtree"/>
        <b/>
        <color theme="1"/>
        <sz val="10.0"/>
      </rPr>
      <t>ARREST DATA</t>
    </r>
    <r>
      <rPr>
        <rFont val="Figtree"/>
        <color theme="1"/>
        <sz val="10.0"/>
      </rPr>
      <t>," you will obtain data from the DOJ's Open Justice public website. 
On the worksheet "</t>
    </r>
    <r>
      <rPr>
        <rFont val="Figtree"/>
        <b/>
        <color theme="1"/>
        <sz val="10.0"/>
      </rPr>
      <t>TREND ANALYSIS</t>
    </r>
    <r>
      <rPr>
        <rFont val="Figtree"/>
        <color theme="1"/>
        <sz val="10.0"/>
      </rPr>
      <t>," you will describe how the programs and activities funded by JJCPA-YOBG have, or may have, contributed to the trends seen in the data included in REPORT 1, REPORT 3, and ARREST DATA.
On the "</t>
    </r>
    <r>
      <rPr>
        <rFont val="Figtree"/>
        <b/>
        <color theme="1"/>
        <sz val="10.0"/>
      </rPr>
      <t>EXPENTITURE DETAILS</t>
    </r>
    <r>
      <rPr>
        <rFont val="Figtree"/>
        <color theme="1"/>
        <sz val="10.0"/>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</si>
  <si>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</si>
  <si>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</si>
  <si>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Referrals of Juveniles to Probation Departments for Delinquent Acts, January 1 - December 31, 2023
Age by Referral Type, Gender, Race/Ethnic Group, Referral Source, Detention, Prosecutor Action, and Probation Department Disposition Report 1</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</si>
  <si>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</si>
  <si>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</si>
  <si>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</si>
  <si>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</si>
  <si>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</si>
  <si>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</si>
  <si>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</si>
  <si>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</si>
  <si>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</si>
  <si>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</si>
  <si>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</si>
  <si>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</si>
  <si>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</si>
  <si>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</si>
  <si>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</si>
  <si>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</si>
  <si>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</si>
  <si>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</si>
  <si>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r>
      <rPr>
        <rFont val="Arial"/>
        <b/>
        <color rgb="FFFFFFFF"/>
        <sz val="10.0"/>
      </rPr>
      <t xml:space="preserve">Juvenile Court Dispositions Resulting From Petitions for Delinquent Acts, January 1 - December 31, 2023
</t>
    </r>
    <r>
      <rPr>
        <rFont val="Arial"/>
        <b/>
        <color rgb="FFFFFFFF"/>
        <sz val="9.0"/>
      </rPr>
      <t>Age by Petition Type, Sex, Race/Ethnic Group, Defense Representation, Court Disposition and Wardship Placement</t>
    </r>
    <r>
      <rPr>
        <rFont val="Arial"/>
        <b/>
        <color rgb="FFFFFFFF"/>
        <sz val="10.0"/>
      </rPr>
      <t xml:space="preserve">
Report 3</t>
    </r>
  </si>
  <si>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</si>
  <si>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</si>
  <si>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</si>
  <si>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</si>
  <si>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</si>
  <si>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</si>
  <si>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</si>
  <si>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</si>
  <si>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</si>
  <si>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</si>
  <si>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</si>
  <si>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</si>
  <si>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</si>
  <si>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</si>
  <si>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</si>
  <si>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rFont val="Arial"/>
        <color theme="1"/>
        <sz val="10.0"/>
      </rPr>
      <t>California Youth Authority</t>
    </r>
    <r>
      <rPr>
        <rFont val="Arial"/>
        <b/>
        <color theme="1"/>
        <sz val="12.0"/>
      </rPr>
      <t>*</t>
    </r>
  </si>
  <si>
    <t>Subsequent Actions</t>
  </si>
  <si>
    <t>Technical Violations</t>
  </si>
  <si>
    <t>5x</t>
  </si>
  <si>
    <t>Sex   (OPTIONAL)</t>
  </si>
  <si>
    <r>
      <rPr>
        <rFont val="Arial"/>
        <b/>
        <color theme="1"/>
        <sz val="12.0"/>
      </rPr>
      <t>*</t>
    </r>
    <r>
      <rPr>
        <rFont val="Arial"/>
        <b/>
        <color theme="1"/>
        <sz val="9.0"/>
      </rPr>
      <t xml:space="preserve"> The JCPSS reports show "California Youth Authority," however it is now called the "Division of Juvenile Justice."</t>
    </r>
  </si>
  <si>
    <t>In the blank boxes below, enter your juvenile arrest data from last year (2023).</t>
  </si>
  <si>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</si>
  <si>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</si>
  <si>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</si>
  <si>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</si>
  <si>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</si>
  <si>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</si>
  <si>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</si>
  <si>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</si>
  <si>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</si>
  <si>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The focus of the Amador County Probation Department is primarily prevention driven.  Identifying juveniles at risk and collaborating with our community-based agencies has allowed the juvenile probation officer to access programs which focus acutely on the needs of the minor and their family.  Referring minors and their families to programs such as Aggression Replacement Therapy and 180 Degree U-Turn have proven to help enhance informal interaction with the Probation Department and law enforcement when engaging youth who are at risk within our community.  Creative dispositions prior to court involvement have been implemented prior to or at intake with the Probation Department.  The Probation Department has a strong relationship with the school district and is very active with truancy prevention and referring families in need for services.</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</si>
  <si>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</si>
  <si>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</si>
  <si>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</si>
  <si>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</si>
  <si>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</si>
  <si>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</si>
  <si>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</si>
  <si>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</si>
  <si>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</si>
  <si>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</si>
  <si>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</si>
  <si>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</si>
  <si>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</si>
  <si>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</si>
  <si>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</si>
  <si>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</si>
  <si>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</si>
  <si>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</si>
  <si>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</si>
  <si>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</si>
  <si>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</si>
  <si>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</si>
  <si>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</si>
  <si>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</si>
  <si>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</si>
  <si>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</si>
  <si>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</si>
  <si>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</si>
  <si>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</si>
  <si>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</si>
  <si>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</si>
  <si>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</si>
  <si>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</si>
  <si>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</si>
  <si>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</si>
  <si>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</si>
  <si>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</si>
  <si>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</si>
  <si>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</si>
  <si>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</si>
  <si>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</si>
  <si>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</si>
  <si>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</si>
  <si>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</si>
  <si>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</si>
  <si>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</si>
  <si>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</si>
  <si>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</si>
  <si>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</si>
  <si>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</si>
  <si>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</si>
  <si>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</si>
  <si>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</si>
  <si>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</si>
  <si>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</si>
  <si>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</si>
  <si>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</si>
  <si>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</si>
  <si>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</si>
  <si>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</si>
  <si>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</si>
  <si>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</si>
  <si>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</si>
  <si>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</si>
  <si>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</si>
  <si>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rFont val="Arial"/>
        <b/>
        <color theme="1"/>
        <sz val="10.0"/>
      </rPr>
      <t>Salaries and Benefits</t>
    </r>
    <r>
      <rPr>
        <rFont val="Arial"/>
        <b val="0"/>
        <color theme="1"/>
        <sz val="10.0"/>
      </rPr>
      <t xml:space="preserve"> includes all expenditures related to paying the salaries and benefits of county probation (or other county department) employees who were directly involved in grant-related activities. </t>
    </r>
  </si>
  <si>
    <r>
      <rPr>
        <rFont val="Arial"/>
        <b/>
        <color theme="1"/>
        <sz val="10.0"/>
      </rPr>
      <t xml:space="preserve">Services and Supplies </t>
    </r>
    <r>
      <rPr>
        <rFont val="Arial"/>
        <b val="0"/>
        <color theme="1"/>
        <sz val="10.0"/>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</si>
  <si>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rFont val="Arial"/>
        <b/>
        <color theme="1"/>
        <sz val="10.0"/>
      </rPr>
      <t xml:space="preserve">Professional Services </t>
    </r>
    <r>
      <rPr>
        <rFont val="Arial"/>
        <b val="0"/>
        <color theme="1"/>
        <sz val="10.0"/>
      </rPr>
      <t>includes all services provided by individuals and agencies with whom the County contracts. The county is responsible for reimbursing every contracted individual/agency.</t>
    </r>
  </si>
  <si>
    <r>
      <rPr>
        <rFont val="Arial"/>
        <b/>
        <color theme="1"/>
        <sz val="10.0"/>
      </rPr>
      <t xml:space="preserve">Community-Based  Organizations   (CBO) </t>
    </r>
    <r>
      <rPr>
        <rFont val="Arial"/>
        <b val="0"/>
        <color theme="1"/>
        <sz val="10.0"/>
      </rPr>
      <t xml:space="preserve"> includes  all  expenditures  for  services  received  from  CBO's.   </t>
    </r>
    <r>
      <rPr>
        <rFont val="Arial"/>
        <b/>
        <i/>
        <color theme="1"/>
        <sz val="10.0"/>
      </rPr>
      <t>NOTE</t>
    </r>
    <r>
      <rPr>
        <rFont val="Arial"/>
        <b val="0"/>
        <color theme="1"/>
        <sz val="10.0"/>
      </rPr>
      <t>:</t>
    </r>
    <r>
      <rPr>
        <rFont val="Arial"/>
        <b val="0"/>
        <i/>
        <color theme="1"/>
        <sz val="10.0"/>
      </rPr>
      <t xml:space="preserve"> If you use JJCPA and/or YOBG funds to contract with a CBO, report that expenditure on this line item rather than on the Professional Services line item.</t>
    </r>
  </si>
  <si>
    <r>
      <rPr>
        <rFont val="Arial"/>
        <b/>
        <color theme="1"/>
        <sz val="10.0"/>
      </rPr>
      <t>Fixed Assets/Equipment</t>
    </r>
    <r>
      <rPr>
        <rFont val="Arial"/>
        <b val="0"/>
        <color theme="1"/>
        <sz val="10.0"/>
      </rPr>
      <t xml:space="preserve"> includes items such as vehicles and equipment needed to implement and/or operate the program, placement, service, etc. (e.g., computer and other office equipment including furniture).</t>
    </r>
  </si>
  <si>
    <r>
      <rPr>
        <rFont val="Arial"/>
        <b/>
        <color theme="1"/>
        <sz val="10.0"/>
      </rPr>
      <t>Administrative Overhead</t>
    </r>
    <r>
      <rPr>
        <rFont val="Arial"/>
        <b val="0"/>
        <color theme="1"/>
        <sz val="10.0"/>
      </rPr>
      <t xml:space="preserve"> includes all costs associated with administration of the program, placement, service, strategy, and/or system enhancement being supported by JJCPA and/or YOBG funds.</t>
    </r>
  </si>
  <si>
    <r>
      <rPr>
        <rFont val="Arial"/>
        <color theme="1"/>
        <sz val="10.0"/>
      </rPr>
      <t xml:space="preserve">Use the space below the budget detail to provide a narrative description for each program, placement, service, strategy, and/or system enhancement that was funded last year.  </t>
    </r>
    <r>
      <rPr>
        <rFont val="Arial"/>
        <i/>
        <color theme="1"/>
        <sz val="10.0"/>
      </rPr>
      <t xml:space="preserve">To do so, double click on the response box provided for this purpose. </t>
    </r>
    <r>
      <rPr>
        <rFont val="Arial"/>
        <color theme="1"/>
        <sz val="10.0"/>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</si>
  <si>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</si>
  <si>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rFont val="Arial"/>
        <color theme="1"/>
        <sz val="10.0"/>
      </rPr>
      <t xml:space="preserve">And, as previously stated, we </t>
    </r>
    <r>
      <rPr>
        <rFont val="Arial"/>
        <b/>
        <color theme="1"/>
        <sz val="10.0"/>
      </rPr>
      <t>strongly suggest you use Spell Check</t>
    </r>
    <r>
      <rPr>
        <rFont val="Arial"/>
        <color theme="1"/>
        <sz val="10.0"/>
      </rPr>
      <t xml:space="preserve"> before returning to the OYCR.</t>
    </r>
  </si>
  <si>
    <t>1. Program, Placement, Service, Strategy, or System Enhancement</t>
  </si>
  <si>
    <t xml:space="preserve">Name of program, placement, service, </t>
  </si>
  <si>
    <t>Juvenile Probation Officer</t>
  </si>
  <si>
    <t>strategy or system enhancement (Required):</t>
  </si>
  <si>
    <r>
      <rPr>
        <rFont val="Arial"/>
        <color theme="1"/>
        <sz val="10.0"/>
      </rPr>
      <t>Expenditure Category (Required)</t>
    </r>
    <r>
      <rPr>
        <rFont val="Arial"/>
        <color theme="1"/>
        <sz val="8.0"/>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</si>
  <si>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</si>
  <si>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</si>
  <si>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</si>
  <si>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</si>
  <si>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</si>
  <si>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</si>
  <si>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</si>
  <si>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</si>
  <si>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</si>
  <si>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</si>
  <si>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</si>
  <si>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</si>
  <si>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</si>
  <si>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</si>
  <si>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</si>
  <si>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 xml:space="preserve">JJCPA funds paid for one Juvenile Probation Officer assigned to collaborate with the Amador County Schools, community-based organizations, and Amador County Health and Human Services.  The Juvenile Probation Officer addressed school truancy and disciplinary issues within the 15 schools in Amador County.  In addition, the Juvenile Probation Officer collaborated with the community-based organization, Nexus Youth and Family Services, which offers anger management program, substance and abuse counseling, and counseling preventative services.  Amador County Health and Human Services are utilized to refer youth for mental health and substance abuse counseling.     </t>
  </si>
  <si>
    <t>2. Program, Placement, Service, Strategy, or System Enhancement</t>
  </si>
  <si>
    <t>Automon, LLC</t>
  </si>
  <si>
    <r>
      <rPr>
        <rFont val="Arial"/>
        <color theme="1"/>
        <sz val="10.0"/>
      </rPr>
      <t>Expenditure Category (Required)</t>
    </r>
    <r>
      <rPr>
        <rFont val="Arial"/>
        <color theme="1"/>
        <sz val="8.0"/>
      </rPr>
      <t>:</t>
    </r>
  </si>
  <si>
    <t>Amador County Probation contracts with AutoMon, LLC to maintain the case management system and reporting system through the vendor's annual maintenance and escrow fees.  The case management and reporting systems allow the juvenile probation officer to tracks most aspects of the juvenile caseload, for statistical analysis/required by the state. The Juvenile Assessment Intervention Systems (JAIS) is embedded in the case management system which is a juvenile assessment too.  The JAIS component classifies the risk levels of low, medium, and high.  The assessment also identifies the needs of the youth to successfully complete probation and reduce recidivism; such as, family counseling, mental health counseling, substance abuse counseling, Aggression Replacement Therapy and 180 You-Turn Program.</t>
  </si>
  <si>
    <t>3. Program, Placement, Service, Strategy, or System Enhancement</t>
  </si>
  <si>
    <r>
      <rPr>
        <rFont val="Arial"/>
        <color theme="1"/>
        <sz val="10.0"/>
      </rPr>
      <t>Expenditure Category (Required)</t>
    </r>
    <r>
      <rPr>
        <rFont val="Arial"/>
        <color theme="1"/>
        <sz val="8.0"/>
      </rPr>
      <t>:</t>
    </r>
  </si>
  <si>
    <t>Nexus Youth and Family Services (Nexus) provides the Aggression Replacement Therapy (ART) groups throughout the school year to youth referred by Amador County Probation. The juvenile probation officer collaborates with local schools, Health and Human Services, and parents to assess youth for the ART program. ART groups help to reduce negative behaviors, disciplinary action in the school setting, time on probation, and recidivism in the Juvenile Justice System. Nexus staff worked with school administration to provide ART services on-site at the Amador County Education Options campus, which includes Community School, North Star Academy, and Independence High School. In addition, an intensive four-day ART workshop event was offered at the Ione Family Resource Center. Staff were able to provide the ART components with multiple small cohorts of students identified and referred for services by Probation staff, school administration, and teachers due to behavioral challenges. A total of 20 youth participated in ART group services. Curriculum was also offered during individual counseling appointments. Some of the topics addressed throughout the year include: Trust Building, What are Triggers?, Understanding Triggers, ABC's of Anger, Conflict Cycle, Cues and Anger Reducers, Implementing Healthy Boundaries, Asking for Help, Deciding What Caused a Problem, Avoiding Trouble with Others, Keeping Out of Fights, Personal Accountability, Impulse Control, Goal Setting/Educational Goals, Self-Harm, Substance Use Disorder, Active Listening Skills, Importance of and Improving Self-Esteem, Resisting Negative Peer Pressure.</t>
  </si>
  <si>
    <t>4. Program, Placement, Service, Strategy, or System Enhancement</t>
  </si>
  <si>
    <t>180 You-Turn Program</t>
  </si>
  <si>
    <t>strategy or system enhancement:</t>
  </si>
  <si>
    <r>
      <rPr>
        <rFont val="Arial"/>
        <color theme="1"/>
        <sz val="10.0"/>
      </rPr>
      <t>Expenditure Category</t>
    </r>
    <r>
      <rPr>
        <rFont val="Arial"/>
        <color theme="1"/>
        <sz val="8.0"/>
      </rPr>
      <t>:</t>
    </r>
  </si>
  <si>
    <t xml:space="preserve">Nexus Youth and Family Services (Nexus) provided the 180 Degree You-Turn Program which is evidence-based group facilitation titled The Council for Boys and Young Men and Girls Circle.  The program is designed to serve youth ages 9 through 18 years of age identified as high risk. Based on pre/post and retrospective assessments, the goals of the program are to increase school engagement, behavior, school attendance, and a decrease in drug, alcohol and tobacco use.  Strategies include: 1) facilitating small group interventions for at-risk youth utilizing The Council for Boys and Young Men and the Girls Circle training curricula, as well as other curricula.  Groups met and participated in lessons and activities related to Team Building, Self-Control, Personal Responsibility, Conflict Resolution, Trauma &amp; Aggression, etc.  2) Providing educational excursions/field trips for youth group participants to career, vocational, volunteer, or scholastic settings including Friday Night Live Youth Summit in Anaheim, Peer Leadership, and the Juvenile Diversion Program at Mule Creek State Prison.  Informational videos regarding mental health and wellness topics were also available via Nexus' Facebook and YouTube channel.  3) Providing mentoring support for each participant in a one-on-one setting.                                                                                                                            </t>
  </si>
  <si>
    <t>5. Program, Placement, Service, Strategy, or System Enhancement</t>
  </si>
  <si>
    <r>
      <rPr>
        <rFont val="Arial"/>
        <color theme="1"/>
        <sz val="10.0"/>
      </rPr>
      <t>Expenditure Category</t>
    </r>
    <r>
      <rPr>
        <rFont val="Arial"/>
        <color theme="1"/>
        <sz val="8.0"/>
      </rPr>
      <t>:</t>
    </r>
  </si>
  <si>
    <t>6. Program, Placement, Service, Strategy, or System Enhancement</t>
  </si>
  <si>
    <r>
      <rPr>
        <rFont val="Arial"/>
        <color theme="1"/>
        <sz val="10.0"/>
      </rPr>
      <t>Expenditure Category</t>
    </r>
    <r>
      <rPr>
        <rFont val="Arial"/>
        <color theme="1"/>
        <sz val="8.0"/>
      </rPr>
      <t>:</t>
    </r>
  </si>
  <si>
    <t>7. Program, Placement, Service, Strategy, or System Enhancement</t>
  </si>
  <si>
    <r>
      <rPr>
        <rFont val="Arial"/>
        <color theme="1"/>
        <sz val="10.0"/>
      </rPr>
      <t>Expenditure Category</t>
    </r>
    <r>
      <rPr>
        <rFont val="Arial"/>
        <color theme="1"/>
        <sz val="8.0"/>
      </rPr>
      <t>:</t>
    </r>
  </si>
  <si>
    <t>8. Program, Placement, Service, Strategy, or System Enhancement</t>
  </si>
  <si>
    <r>
      <rPr>
        <rFont val="Arial"/>
        <color theme="1"/>
        <sz val="10.0"/>
      </rPr>
      <t>Expenditure Category</t>
    </r>
    <r>
      <rPr>
        <rFont val="Arial"/>
        <color theme="1"/>
        <sz val="8.0"/>
      </rPr>
      <t>:</t>
    </r>
  </si>
  <si>
    <t>9. Program, Placement, Service, Strategy, or System Enhancement</t>
  </si>
  <si>
    <r>
      <rPr>
        <rFont val="Arial"/>
        <color theme="1"/>
        <sz val="10.0"/>
      </rPr>
      <t>Expenditure Category</t>
    </r>
    <r>
      <rPr>
        <rFont val="Arial"/>
        <color theme="1"/>
        <sz val="8.0"/>
      </rPr>
      <t>:</t>
    </r>
  </si>
  <si>
    <t>10. Program, Placement, Service, Strategy, or System Enhancement</t>
  </si>
  <si>
    <r>
      <rPr>
        <rFont val="Arial"/>
        <color theme="1"/>
        <sz val="10.0"/>
      </rPr>
      <t>Expenditure Category</t>
    </r>
    <r>
      <rPr>
        <rFont val="Arial"/>
        <color theme="1"/>
        <sz val="8.0"/>
      </rPr>
      <t>:</t>
    </r>
  </si>
  <si>
    <t>11. Program, Placement, Service, Strategy, or System Enhancement</t>
  </si>
  <si>
    <r>
      <rPr>
        <rFont val="Arial"/>
        <color theme="1"/>
        <sz val="10.0"/>
      </rPr>
      <t>Expenditure Category</t>
    </r>
    <r>
      <rPr>
        <rFont val="Arial"/>
        <color theme="1"/>
        <sz val="8.0"/>
      </rPr>
      <t>:</t>
    </r>
  </si>
  <si>
    <t>12. Program, Placement, Service, Strategy, or System Enhancement</t>
  </si>
  <si>
    <r>
      <rPr>
        <rFont val="Arial"/>
        <color theme="1"/>
        <sz val="10.0"/>
      </rPr>
      <t>Expenditure Category</t>
    </r>
    <r>
      <rPr>
        <rFont val="Arial"/>
        <color theme="1"/>
        <sz val="8.0"/>
      </rPr>
      <t>:</t>
    </r>
  </si>
  <si>
    <t>13. Program, Placement, Service, Strategy, or System Enhancement</t>
  </si>
  <si>
    <r>
      <rPr>
        <rFont val="Arial"/>
        <color theme="1"/>
        <sz val="10.0"/>
      </rPr>
      <t>Expenditure Category</t>
    </r>
    <r>
      <rPr>
        <rFont val="Arial"/>
        <color theme="1"/>
        <sz val="8.0"/>
      </rPr>
      <t>:</t>
    </r>
  </si>
  <si>
    <t>14. Program, Placement, Service, Strategy, or System Enhancement</t>
  </si>
  <si>
    <r>
      <rPr>
        <rFont val="Arial"/>
        <color theme="1"/>
        <sz val="10.0"/>
      </rPr>
      <t>Expenditure Category</t>
    </r>
    <r>
      <rPr>
        <rFont val="Arial"/>
        <color theme="1"/>
        <sz val="8.0"/>
      </rPr>
      <t>:</t>
    </r>
  </si>
  <si>
    <t>15. Program, Placement, Service, Strategy, or System Enhancement</t>
  </si>
  <si>
    <r>
      <rPr>
        <rFont val="Arial"/>
        <color theme="1"/>
        <sz val="10.0"/>
      </rPr>
      <t>Expenditure Category</t>
    </r>
    <r>
      <rPr>
        <rFont val="Arial"/>
        <color theme="1"/>
        <sz val="8.0"/>
      </rPr>
      <t>:</t>
    </r>
  </si>
  <si>
    <t>16. Program, Placement, Service, Strategy, or System Enhancement</t>
  </si>
  <si>
    <r>
      <rPr>
        <rFont val="Arial"/>
        <color theme="1"/>
        <sz val="10.0"/>
      </rPr>
      <t>Expenditure Category</t>
    </r>
    <r>
      <rPr>
        <rFont val="Arial"/>
        <color theme="1"/>
        <sz val="8.0"/>
      </rPr>
      <t>:</t>
    </r>
  </si>
  <si>
    <t>17. Program, Placement, Service, Strategy, or System Enhancement</t>
  </si>
  <si>
    <r>
      <rPr>
        <rFont val="Arial"/>
        <color theme="1"/>
        <sz val="10.0"/>
      </rPr>
      <t>Expenditure Category</t>
    </r>
    <r>
      <rPr>
        <rFont val="Arial"/>
        <color theme="1"/>
        <sz val="8.0"/>
      </rPr>
      <t>:</t>
    </r>
  </si>
  <si>
    <t>18. Program, Placement, Service, Strategy, or System Enhancement</t>
  </si>
  <si>
    <r>
      <rPr>
        <rFont val="Arial"/>
        <color theme="1"/>
        <sz val="10.0"/>
      </rPr>
      <t>Expenditure Category</t>
    </r>
    <r>
      <rPr>
        <rFont val="Arial"/>
        <color theme="1"/>
        <sz val="8.0"/>
      </rPr>
      <t>:</t>
    </r>
  </si>
  <si>
    <t>19. Program, Placement, Service, Strategy, or System Enhancement</t>
  </si>
  <si>
    <r>
      <rPr>
        <rFont val="Arial"/>
        <color theme="1"/>
        <sz val="10.0"/>
      </rPr>
      <t>Expenditure Category</t>
    </r>
    <r>
      <rPr>
        <rFont val="Arial"/>
        <color theme="1"/>
        <sz val="8.0"/>
      </rPr>
      <t>:</t>
    </r>
  </si>
  <si>
    <t>20. Program, Placement, Service, Strategy, or System Enhancement</t>
  </si>
  <si>
    <r>
      <rPr>
        <rFont val="Arial"/>
        <color theme="1"/>
        <sz val="10.0"/>
      </rPr>
      <t>Expenditure Category</t>
    </r>
    <r>
      <rPr>
        <rFont val="Arial"/>
        <color theme="1"/>
        <sz val="8.0"/>
      </rPr>
      <t>:</t>
    </r>
  </si>
  <si>
    <t>21. Program, Placement, Service, Strategy, or System Enhancement</t>
  </si>
  <si>
    <r>
      <rPr>
        <rFont val="Arial"/>
        <color theme="1"/>
        <sz val="10.0"/>
      </rPr>
      <t>Expenditure Category</t>
    </r>
    <r>
      <rPr>
        <rFont val="Arial"/>
        <color theme="1"/>
        <sz val="8.0"/>
      </rPr>
      <t>:</t>
    </r>
  </si>
  <si>
    <t>22. Program, Placement, Service, Strategy, or System Enhancement</t>
  </si>
  <si>
    <r>
      <rPr>
        <rFont val="Arial"/>
        <color theme="1"/>
        <sz val="10.0"/>
      </rPr>
      <t>Expenditure Category</t>
    </r>
    <r>
      <rPr>
        <rFont val="Arial"/>
        <color theme="1"/>
        <sz val="8.0"/>
      </rPr>
      <t>:</t>
    </r>
  </si>
  <si>
    <t>23. Program, Placement, Service, Strategy, or System Enhancement</t>
  </si>
  <si>
    <r>
      <rPr>
        <rFont val="Arial"/>
        <color theme="1"/>
        <sz val="10.0"/>
      </rPr>
      <t>Expenditure Category</t>
    </r>
    <r>
      <rPr>
        <rFont val="Arial"/>
        <color theme="1"/>
        <sz val="8.0"/>
      </rPr>
      <t>:</t>
    </r>
  </si>
  <si>
    <t>24. Program, Placement, Service, Strategy, or System Enhancement</t>
  </si>
  <si>
    <r>
      <rPr>
        <rFont val="Arial"/>
        <color theme="1"/>
        <sz val="10.0"/>
      </rPr>
      <t>Expenditure Category</t>
    </r>
    <r>
      <rPr>
        <rFont val="Arial"/>
        <color theme="1"/>
        <sz val="8.0"/>
      </rPr>
      <t>:</t>
    </r>
  </si>
  <si>
    <t>25. Program, Placement, Service, Strategy, or System Enhancement</t>
  </si>
  <si>
    <r>
      <rPr>
        <rFont val="Arial"/>
        <color theme="1"/>
        <sz val="10.0"/>
      </rPr>
      <t>Expenditure Category</t>
    </r>
    <r>
      <rPr>
        <rFont val="Arial"/>
        <color theme="1"/>
        <sz val="8.0"/>
      </rPr>
      <t>:</t>
    </r>
  </si>
  <si>
    <t>26. Program, Placement, Service, Strategy, or System Enhancement</t>
  </si>
  <si>
    <r>
      <rPr>
        <rFont val="Arial"/>
        <color theme="1"/>
        <sz val="10.0"/>
      </rPr>
      <t>Expenditure Category</t>
    </r>
    <r>
      <rPr>
        <rFont val="Arial"/>
        <color theme="1"/>
        <sz val="8.0"/>
      </rPr>
      <t>:</t>
    </r>
  </si>
  <si>
    <t>27. Program, Placement, Service, Strategy, or System Enhancement</t>
  </si>
  <si>
    <r>
      <rPr>
        <rFont val="Arial"/>
        <color theme="1"/>
        <sz val="10.0"/>
      </rPr>
      <t>Expenditure Category</t>
    </r>
    <r>
      <rPr>
        <rFont val="Arial"/>
        <color theme="1"/>
        <sz val="8.0"/>
      </rPr>
      <t>:</t>
    </r>
  </si>
  <si>
    <t>28. Program, Placement, Service, Strategy, or System Enhancement</t>
  </si>
  <si>
    <r>
      <rPr>
        <rFont val="Arial"/>
        <color theme="1"/>
        <sz val="10.0"/>
      </rPr>
      <t>Expenditure Category</t>
    </r>
    <r>
      <rPr>
        <rFont val="Arial"/>
        <color theme="1"/>
        <sz val="8.0"/>
      </rPr>
      <t>:</t>
    </r>
  </si>
  <si>
    <t>29. Program, Placement, Service, Strategy, or System Enhancement</t>
  </si>
  <si>
    <r>
      <rPr>
        <rFont val="Arial"/>
        <color theme="1"/>
        <sz val="10.0"/>
      </rPr>
      <t>Expenditure Category</t>
    </r>
    <r>
      <rPr>
        <rFont val="Arial"/>
        <color theme="1"/>
        <sz val="8.0"/>
      </rPr>
      <t>:</t>
    </r>
  </si>
  <si>
    <t>30. Program, Placement, Service, Strategy, or System Enhancement</t>
  </si>
  <si>
    <r>
      <rPr>
        <rFont val="Arial"/>
        <color theme="1"/>
        <sz val="10.0"/>
      </rPr>
      <t>Expenditure Category</t>
    </r>
    <r>
      <rPr>
        <rFont val="Arial"/>
        <color theme="1"/>
        <sz val="8.0"/>
      </rPr>
      <t>:</t>
    </r>
  </si>
  <si>
    <t>FOR BSCC USE ONLY</t>
  </si>
  <si>
    <r>
      <rPr>
        <rFont val="Arial"/>
        <b/>
        <color rgb="FFFFFFFF"/>
        <sz val="10.0"/>
      </rPr>
      <t xml:space="preserve">Referrals of Juveniles to Probation Departments for Delinquent Acts, January 1 - December 31, 2016
Age by Referral Type, Gender, Race/Ethnic Group, Referral Source, Detention, Prosecutor Action, and Probation Department Disposition
</t>
    </r>
    <r>
      <rPr>
        <rFont val="Arial"/>
        <b/>
        <color rgb="FFFFFFFF"/>
        <sz val="14.0"/>
      </rPr>
      <t>Report 1 TOTALS</t>
    </r>
  </si>
  <si>
    <t>Sex (Male &amp; Female)</t>
  </si>
  <si>
    <t>Race/Ethnic Group</t>
  </si>
  <si>
    <t>(Optional)</t>
  </si>
  <si>
    <r>
      <rPr>
        <rFont val="Arial"/>
        <b/>
        <color rgb="FFFFFFFF"/>
        <sz val="10.0"/>
      </rPr>
      <t xml:space="preserve">Juvenile Court Dispositions Resulting From Petitions for Delinquesnt Acts, January 1 - December 31, 2016
</t>
    </r>
    <r>
      <rPr>
        <rFont val="Arial"/>
        <b/>
        <color rgb="FFFFFFFF"/>
        <sz val="9.0"/>
      </rPr>
      <t>Age by Petition Type, Sex, Race/Ethnic Group, Defense Representation, Court Disposition and Wardship Placement</t>
    </r>
    <r>
      <rPr>
        <rFont val="Arial"/>
        <b/>
        <color rgb="FFFFFFFF"/>
        <sz val="10.0"/>
      </rPr>
      <t xml:space="preserve">
</t>
    </r>
    <r>
      <rPr>
        <rFont val="Arial"/>
        <b/>
        <color rgb="FFFFFFFF"/>
        <sz val="14.0"/>
      </rPr>
      <t>Report 3 TOTALS</t>
    </r>
  </si>
  <si>
    <r>
      <rPr>
        <rFont val="Arial"/>
        <b/>
        <i/>
        <color theme="0"/>
        <sz val="11.0"/>
      </rPr>
      <t xml:space="preserve">In the blank boxes below, enter the data from your Juvenile Arrest Report received from BSCC as titled below:
</t>
    </r>
    <r>
      <rPr>
        <rFont val="Arial"/>
        <b/>
        <i val="0"/>
        <color theme="0"/>
        <sz val="11.0"/>
      </rPr>
      <t xml:space="preserve">Juvenile Arrests by County, Race/Ethnic Group and Sex, 2016
</t>
    </r>
    <r>
      <rPr>
        <rFont val="Arial"/>
        <b/>
        <i val="0"/>
        <color theme="0"/>
        <sz val="14.0"/>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</si>
  <si>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</si>
  <si>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</si>
  <si>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</si>
  <si>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</si>
  <si>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</si>
  <si>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</si>
  <si>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</si>
  <si>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</si>
  <si>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</si>
  <si>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</si>
  <si>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</si>
  <si>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</si>
  <si>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</si>
  <si>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</si>
  <si>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</si>
  <si>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</si>
  <si>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</si>
  <si>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</si>
  <si>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</si>
  <si>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</si>
  <si>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</si>
  <si>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</si>
  <si>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</si>
  <si>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</si>
  <si>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</si>
  <si>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</si>
  <si>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</si>
  <si>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rFont val="Arial"/>
        <color theme="1"/>
        <sz val="10.0"/>
      </rPr>
      <t xml:space="preserve">    provided.)  </t>
    </r>
  </si>
  <si>
    <t>3.  In what ways, if any, does your strategy differ from your strategy for dealing with other offenders?</t>
  </si>
  <si>
    <t xml:space="preserve">4.  What plans, if any, do you have for developing a strategy for dealing with non-707(b) offenders? </t>
  </si>
  <si>
    <r>
      <rPr>
        <rFont val="Arial"/>
        <color theme="1"/>
        <sz val="10.0"/>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</si>
  <si>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</si>
  <si>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</si>
  <si>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</si>
  <si>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</si>
  <si>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</si>
  <si>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rFont val="Arial"/>
        <color theme="1"/>
        <sz val="10.0"/>
      </rPr>
      <t>1.</t>
    </r>
    <r>
      <rPr>
        <rFont val="Arial"/>
        <color theme="1"/>
        <sz val="9.0"/>
      </rPr>
      <t xml:space="preserve">  Is your Juvenile Justice Coordinating Council aware of your planned YOBG expenditures?</t>
    </r>
  </si>
  <si>
    <r>
      <rPr>
        <rFont val="Arial"/>
        <color theme="1"/>
        <sz val="10.0"/>
      </rPr>
      <t>2.</t>
    </r>
    <r>
      <rPr>
        <rFont val="Arial"/>
        <color theme="1"/>
        <sz val="10.0"/>
      </rPr>
      <t xml:space="preserve"> Were there specific discussions related to coordination between JJCPA and YOBG?</t>
    </r>
  </si>
  <si>
    <r>
      <rPr>
        <rFont val="Arial"/>
        <color theme="1"/>
        <sz val="10.0"/>
      </rPr>
      <t>3.</t>
    </r>
    <r>
      <rPr>
        <rFont val="Arial"/>
        <color theme="1"/>
        <sz val="10.0"/>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</si>
  <si>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</si>
  <si>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</si>
  <si>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rFont val="Arial"/>
        <color theme="1"/>
        <sz val="10.0"/>
      </rPr>
      <t xml:space="preserve">This concludes the application.  </t>
    </r>
    <r>
      <rPr>
        <rFont val="Arial"/>
        <b/>
        <color theme="1"/>
        <sz val="10.0"/>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</si>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</sst>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_(* \(#,##0\);_(* &quot;-&quot;_);_(@_)"/>
    <numFmt numFmtId="165" formatCode="_(* #,##0.00_);_(* \(#,##0.00\);_(* &quot;-&quot;??_);_(@_)"/>
    <numFmt numFmtId="166" formatCode="_(&quot;$&quot;* #,##0_);_(&quot;$&quot;* \(#,##0\);_(&quot;$&quot;* &quot;-&quot;_);_(@_)"/>
    <numFmt numFmtId="167" formatCode="_(&quot;$&quot;* #,##0.00_);_(&quot;$&quot;* \(#,##0.00\);_(&quot;$&quot;* &quot;-&quot;??_);_(@_)"/>
  </numFmts>
  <fonts count="48">
    <font>
      <sz val="10.0"/>
      <color rgb="FF000000"/>
      <name val="Arial"/>
      <scheme val="minor"/>
    </font>
    <font>
      <sz val="10.0"/>
      <color theme="1"/>
      <name val="Arial"/>
    </font>
    <font/>
    <font>
      <sz val="12.0"/>
      <color rgb="FFFFFFFF"/>
      <name val="Arial"/>
    </font>
    <font>
      <b/>
      <sz val="12.0"/>
      <color rgb="FFFFFFFF"/>
      <name val="Figtree"/>
    </font>
    <font>
      <sz val="12.0"/>
      <color rgb="FFFFFFFF"/>
      <name val="Figtree"/>
    </font>
    <font>
      <sz val="10.0"/>
      <color theme="1"/>
      <name val="Figtree"/>
    </font>
    <font>
      <b/>
      <sz val="10.0"/>
      <color theme="1"/>
      <name val="Figtree"/>
    </font>
    <font>
      <b/>
      <sz val="10.0"/>
      <color rgb="FFFFFFFF"/>
      <name val="Figtree"/>
    </font>
    <font>
      <sz val="8.0"/>
      <color theme="1"/>
      <name val="Figtree"/>
    </font>
    <font>
      <u/>
      <sz val="10.0"/>
      <color theme="10"/>
      <name val="Arial"/>
    </font>
    <font>
      <u/>
      <sz val="10.0"/>
      <color theme="10"/>
      <name val="Arial"/>
    </font>
    <font>
      <b/>
      <sz val="12.0"/>
      <color theme="1"/>
      <name val="Arial"/>
    </font>
    <font>
      <b/>
      <i/>
      <sz val="12.0"/>
      <color theme="1"/>
      <name val="Arial"/>
    </font>
    <font>
      <b/>
      <i/>
      <sz val="11.0"/>
      <color theme="0"/>
      <name val="Arial"/>
    </font>
    <font>
      <b/>
      <sz val="10.0"/>
      <color rgb="FFFFFFFF"/>
      <name val="Arial"/>
    </font>
    <font>
      <b/>
      <sz val="11.0"/>
      <color rgb="FFFFFFFF"/>
      <name val="Arial"/>
    </font>
    <font>
      <u/>
      <sz val="11.0"/>
      <color rgb="FFFFFFFF"/>
      <name val="Arial"/>
    </font>
    <font>
      <b/>
      <u/>
      <sz val="11.0"/>
      <color theme="1"/>
      <name val="Calibri"/>
    </font>
    <font>
      <b/>
      <u/>
      <sz val="11.0"/>
      <color rgb="FF002060"/>
      <name val="Arial"/>
    </font>
    <font>
      <b/>
      <u/>
      <sz val="11.0"/>
      <color theme="1"/>
      <name val="Arial"/>
    </font>
    <font>
      <sz val="11.0"/>
      <color theme="1"/>
      <name val="Calibri"/>
    </font>
    <font>
      <sz val="11.0"/>
      <color theme="1"/>
      <name val="Arial"/>
    </font>
    <font>
      <b/>
      <sz val="11.0"/>
      <color theme="1"/>
      <name val="Calibri"/>
    </font>
    <font>
      <b/>
      <sz val="10.0"/>
      <color theme="1"/>
      <name val="Arial"/>
    </font>
    <font>
      <b/>
      <u/>
      <sz val="11.0"/>
      <color theme="1"/>
      <name val="Arial"/>
    </font>
    <font>
      <i/>
      <sz val="10.0"/>
      <color theme="1"/>
      <name val="Arial"/>
    </font>
    <font>
      <b/>
      <i/>
      <sz val="10.0"/>
      <color theme="1"/>
      <name val="Arial"/>
    </font>
    <font>
      <sz val="11.0"/>
      <color rgb="FF92D050"/>
      <name val="Calibri"/>
    </font>
    <font>
      <b/>
      <u/>
      <sz val="11.0"/>
      <color theme="1"/>
      <name val="Calibri"/>
    </font>
    <font>
      <b/>
      <sz val="11.0"/>
      <color theme="1"/>
      <name val="Arial"/>
    </font>
    <font>
      <b/>
      <u/>
      <sz val="11.0"/>
      <color theme="1"/>
      <name val="Arial"/>
    </font>
    <font>
      <b/>
      <u/>
      <sz val="11.0"/>
      <color rgb="FF002060"/>
      <name val="Arial"/>
    </font>
    <font>
      <b/>
      <u/>
      <sz val="11.0"/>
      <color rgb="FF002060"/>
      <name val="Arial"/>
    </font>
    <font>
      <b/>
      <sz val="9.0"/>
      <color theme="1"/>
      <name val="Arial"/>
    </font>
    <font>
      <b/>
      <i/>
      <sz val="11.0"/>
      <color theme="1"/>
      <name val="Arial"/>
    </font>
    <font>
      <u/>
      <sz val="10.0"/>
      <color rgb="FF0000FF"/>
      <name val="Arial"/>
    </font>
    <font>
      <b/>
      <sz val="11.0"/>
      <color rgb="FFDAEEF3"/>
      <name val="Arial"/>
    </font>
    <font>
      <b/>
      <u/>
      <sz val="11.0"/>
      <color theme="1"/>
      <name val="Arial"/>
    </font>
    <font>
      <b/>
      <u/>
      <sz val="11.0"/>
      <color theme="1"/>
      <name val="Arial"/>
    </font>
    <font>
      <b/>
      <sz val="8.0"/>
      <color theme="1"/>
      <name val="Arial"/>
    </font>
    <font>
      <sz val="8.0"/>
      <color theme="1"/>
      <name val="Arial"/>
    </font>
    <font>
      <b/>
      <i/>
      <sz val="20.0"/>
      <color theme="1"/>
      <name val="Arial"/>
    </font>
    <font>
      <b/>
      <sz val="20.0"/>
      <color theme="1"/>
      <name val="Arial"/>
    </font>
    <font>
      <b/>
      <u/>
      <sz val="11.0"/>
      <color theme="1"/>
      <name val="Arial"/>
    </font>
    <font>
      <b/>
      <sz val="11.0"/>
      <color rgb="FFFF0000"/>
      <name val="Arial"/>
    </font>
    <font>
      <sz val="9.0"/>
      <color theme="1"/>
      <name val="Arial"/>
    </font>
    <font>
      <u/>
      <sz val="10.0"/>
      <color theme="1"/>
      <name val="Arial"/>
    </font>
  </fonts>
  <fills count="13">
    <fill>
      <patternFill patternType="none"/>
    </fill>
    <fill>
      <patternFill patternType="lightGray"/>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border>
      <left style="thin">
        <color rgb="FF000000"/>
      </left>
      <top style="thin">
        <color rgb="FF000000"/>
      </top>
    </border>
    <border>
      <top style="thin">
        <color rgb="FF000000"/>
      </top>
    </border>
    <border>
      <right style="thin">
        <color rgb="FF000000"/>
      </right>
      <top style="thin">
        <color rgb="FF000000"/>
      </top>
    </border>
    <border>
      <right/>
      <top style="thin">
        <color rgb="FF000000"/>
      </top>
    </border>
    <border>
      <left/>
      <right style="thin">
        <color rgb="FF000000"/>
      </right>
      <top style="thin">
        <color rgb="FF000000"/>
      </top>
      <bottom/>
    </border>
    <border>
      <left style="thin">
        <color rgb="FF000000"/>
      </left>
    </border>
    <border>
      <right/>
    </border>
    <border>
      <left/>
      <right style="thin">
        <color rgb="FF000000"/>
      </right>
      <top/>
      <bottom/>
    </border>
    <border>
      <left style="thin">
        <color rgb="FF000000"/>
      </left>
      <bottom/>
    </border>
    <border>
      <bottom/>
    </border>
    <border>
      <right style="thin">
        <color rgb="FF000000"/>
      </right>
      <bottom/>
    </border>
    <border>
      <left/>
      <right/>
      <top/>
      <bottom/>
    </border>
    <border>
      <left style="thin">
        <color rgb="FF000000"/>
      </left>
      <bottom style="thin">
        <color rgb="FF000000"/>
      </bottom>
    </border>
    <border>
      <right/>
      <bottom style="thin">
        <color rgb="FF000000"/>
      </bottom>
    </border>
    <border>
      <left/>
      <right style="thin">
        <color rgb="FF000000"/>
      </right>
      <top/>
      <bottom style="thin">
        <color rgb="FF000000"/>
      </bottom>
    </border>
    <border>
      <left/>
      <right/>
      <top/>
      <bottom style="thin">
        <color rgb="FF000000"/>
      </bottom>
    </border>
    <border>
      <right style="thin">
        <color rgb="FF000000"/>
      </right>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bottom style="thin">
        <color rgb="FF000000"/>
      </bottom>
    </border>
    <border>
      <right style="thin">
        <color rgb="FF000000"/>
      </right>
      <bottom style="thin">
        <color rgb="FF000000"/>
      </bottom>
    </border>
    <border>
      <left style="thin">
        <color rgb="FF000000"/>
      </left>
      <top/>
      <bottom/>
    </border>
    <border>
      <top/>
      <bottom/>
    </border>
    <border>
      <right style="thin">
        <color rgb="FF000000"/>
      </right>
      <top/>
      <bottom/>
    </border>
    <border>
      <right/>
      <top style="thin">
        <color rgb="FF000000"/>
      </top>
      <bottom/>
    </border>
    <border>
      <left/>
      <top style="thin">
        <color rgb="FF000000"/>
      </top>
      <bottom/>
    </border>
    <border>
      <right/>
      <top style="thin">
        <color rgb="FF000000"/>
      </top>
      <bottom style="thin">
        <color rgb="FF000000"/>
      </bottom>
    </border>
    <border>
      <lef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bottom style="medium">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double">
        <color rgb="FF000000"/>
      </left>
      <top style="double">
        <color rgb="FF000000"/>
      </top>
      <bottom style="double">
        <color rgb="FF000000"/>
      </bottom>
    </border>
    <border>
      <top style="double">
        <color rgb="FF000000"/>
      </top>
      <bottom style="double">
        <color rgb="FF000000"/>
      </bottom>
    </border>
    <border>
      <right style="double">
        <color rgb="FF000000"/>
      </right>
      <top style="double">
        <color rgb="FF000000"/>
      </top>
      <bottom style="double">
        <color rgb="FF000000"/>
      </bottom>
    </border>
    <border>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border>
    <border>
      <left style="thin">
        <color rgb="FF000000"/>
      </left>
      <right/>
      <top/>
      <bottom/>
    </border>
    <border>
      <left style="thin">
        <color rgb="FF000000"/>
      </left>
      <right style="thin">
        <color rgb="FF000000"/>
      </right>
      <bottom style="thin">
        <color rgb="FF000000"/>
      </bottom>
    </border>
  </borders>
  <cellStyleXfs count="1">
    <xf borderId="0" fillId="0" fontId="0" numFmtId="0" applyAlignment="1" applyFont="1"/>
  </cellStyleXfs>
  <cellXfs count="287">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0" fontId="1" numFmtId="0" xfId="0" applyBorder="1" applyFont="1"/>
    <xf borderId="1" fillId="2" fontId="1" numFmtId="0" xfId="0" applyAlignment="1" applyBorder="1" applyFill="1" applyFont="1">
      <alignment horizontal="center"/>
    </xf>
    <xf borderId="4" fillId="0" fontId="2" numFmtId="0" xfId="0" applyBorder="1" applyFont="1"/>
    <xf borderId="5" fillId="2" fontId="3" numFmtId="0" xfId="0" applyBorder="1" applyFont="1"/>
    <xf borderId="1" fillId="3" fontId="4" numFmtId="0" xfId="0" applyAlignment="1" applyBorder="1" applyFill="1" applyFont="1">
      <alignment horizontal="center"/>
    </xf>
    <xf borderId="2" fillId="0" fontId="2" numFmtId="0" xfId="0" applyBorder="1" applyFont="1"/>
    <xf borderId="3" fillId="0" fontId="2" numFmtId="0" xfId="0" applyBorder="1" applyFont="1"/>
    <xf borderId="6" fillId="0" fontId="2" numFmtId="0" xfId="0" applyBorder="1" applyFont="1"/>
    <xf borderId="7" fillId="0" fontId="2" numFmtId="0" xfId="0" applyBorder="1" applyFont="1"/>
    <xf borderId="8" fillId="2" fontId="1" numFmtId="0" xfId="0" applyBorder="1" applyFont="1"/>
    <xf borderId="9" fillId="0" fontId="2" numFmtId="0" xfId="0" applyBorder="1" applyFont="1"/>
    <xf borderId="10" fillId="0" fontId="2" numFmtId="0" xfId="0" applyBorder="1" applyFont="1"/>
    <xf borderId="11" fillId="0" fontId="2" numFmtId="0" xfId="0" applyBorder="1" applyFont="1"/>
    <xf borderId="12" fillId="3" fontId="5" numFmtId="0" xfId="0" applyAlignment="1" applyBorder="1" applyFont="1">
      <alignment horizontal="left"/>
    </xf>
    <xf borderId="12" fillId="3" fontId="5" numFmtId="0" xfId="0" applyBorder="1" applyFont="1"/>
    <xf borderId="8" fillId="3" fontId="5" numFmtId="0" xfId="0" applyBorder="1" applyFont="1"/>
    <xf borderId="12" fillId="3" fontId="6" numFmtId="0" xfId="0" applyAlignment="1" applyBorder="1" applyFont="1">
      <alignment horizontal="left"/>
    </xf>
    <xf borderId="8" fillId="3" fontId="6" numFmtId="0" xfId="0" applyAlignment="1" applyBorder="1" applyFont="1">
      <alignment horizontal="left"/>
    </xf>
    <xf borderId="13" fillId="0" fontId="2" numFmtId="0" xfId="0" applyBorder="1" applyFont="1"/>
    <xf borderId="14" fillId="0" fontId="2" numFmtId="0" xfId="0" applyBorder="1" applyFont="1"/>
    <xf borderId="15" fillId="2" fontId="1" numFmtId="0" xfId="0" applyAlignment="1" applyBorder="1" applyFont="1">
      <alignment horizontal="left"/>
    </xf>
    <xf borderId="16" fillId="3" fontId="1" numFmtId="0" xfId="0" applyAlignment="1" applyBorder="1" applyFont="1">
      <alignment horizontal="left"/>
    </xf>
    <xf borderId="15" fillId="3" fontId="1" numFmtId="0" xfId="0" applyAlignment="1" applyBorder="1" applyFont="1">
      <alignment horizontal="left"/>
    </xf>
    <xf borderId="6" fillId="0" fontId="1" numFmtId="0" xfId="0" applyAlignment="1" applyBorder="1" applyFont="1">
      <alignment horizontal="center"/>
    </xf>
    <xf borderId="0" fillId="0" fontId="1" numFmtId="0" xfId="0" applyAlignment="1" applyFont="1">
      <alignment horizontal="center"/>
    </xf>
    <xf borderId="0" fillId="0" fontId="1" numFmtId="0" xfId="0" applyAlignment="1" applyFont="1">
      <alignment horizontal="left"/>
    </xf>
    <xf borderId="17" fillId="0" fontId="1" numFmtId="0" xfId="0" applyAlignment="1" applyBorder="1" applyFont="1">
      <alignment horizontal="left"/>
    </xf>
    <xf borderId="6" fillId="0" fontId="6" numFmtId="0" xfId="0" applyAlignment="1" applyBorder="1" applyFont="1">
      <alignment horizontal="left" shrinkToFit="0" vertical="center" wrapText="1"/>
    </xf>
    <xf borderId="17" fillId="0" fontId="2" numFmtId="0" xfId="0" applyBorder="1" applyFont="1"/>
    <xf borderId="6" fillId="0" fontId="6" numFmtId="0" xfId="0" applyAlignment="1" applyBorder="1" applyFont="1">
      <alignment horizontal="left" shrinkToFit="0" vertical="top" wrapText="1"/>
    </xf>
    <xf borderId="6" fillId="0" fontId="7" numFmtId="0" xfId="0" applyAlignment="1" applyBorder="1" applyFont="1">
      <alignment horizontal="left" shrinkToFit="0" vertical="top" wrapText="1"/>
    </xf>
    <xf borderId="0" fillId="0" fontId="7" numFmtId="0" xfId="0" applyAlignment="1" applyFont="1">
      <alignment horizontal="left" shrinkToFit="0" vertical="top" wrapText="1"/>
    </xf>
    <xf borderId="17" fillId="0" fontId="7" numFmtId="0" xfId="0" applyAlignment="1" applyBorder="1" applyFont="1">
      <alignment horizontal="left" shrinkToFit="0" vertical="top" wrapText="1"/>
    </xf>
    <xf borderId="6" fillId="0" fontId="6" numFmtId="0" xfId="0" applyAlignment="1" applyBorder="1" applyFont="1">
      <alignment shrinkToFit="0" vertical="top" wrapText="1"/>
    </xf>
    <xf borderId="0" fillId="0" fontId="6" numFmtId="0" xfId="0" applyAlignment="1" applyFont="1">
      <alignment shrinkToFit="0" vertical="top" wrapText="1"/>
    </xf>
    <xf borderId="17" fillId="0" fontId="6" numFmtId="0" xfId="0" applyAlignment="1" applyBorder="1" applyFont="1">
      <alignment shrinkToFit="0" vertical="top" wrapText="1"/>
    </xf>
    <xf borderId="18" fillId="3" fontId="8" numFmtId="0" xfId="0" applyBorder="1" applyFont="1"/>
    <xf borderId="19" fillId="3" fontId="8" numFmtId="0" xfId="0" applyBorder="1" applyFont="1"/>
    <xf borderId="20" fillId="3" fontId="8" numFmtId="0" xfId="0" applyBorder="1" applyFont="1"/>
    <xf borderId="21" fillId="4" fontId="9" numFmtId="0" xfId="0" applyAlignment="1" applyBorder="1" applyFill="1" applyFont="1">
      <alignment horizontal="left" vertical="center"/>
    </xf>
    <xf borderId="22" fillId="0" fontId="2" numFmtId="0" xfId="0" applyBorder="1" applyFont="1"/>
    <xf borderId="23" fillId="0" fontId="2" numFmtId="0" xfId="0" applyBorder="1" applyFont="1"/>
    <xf borderId="21" fillId="0" fontId="6" numFmtId="0" xfId="0" applyAlignment="1" applyBorder="1" applyFont="1">
      <alignment horizontal="left" vertical="center"/>
    </xf>
    <xf borderId="21" fillId="0" fontId="6" numFmtId="14" xfId="0" applyAlignment="1" applyBorder="1" applyFont="1" applyNumberFormat="1">
      <alignment horizontal="left" readingOrder="0" vertical="center"/>
    </xf>
    <xf borderId="0" fillId="0" fontId="1" numFmtId="0" xfId="0" applyAlignment="1" applyFont="1">
      <alignment horizontal="left" vertical="center"/>
    </xf>
    <xf borderId="24" fillId="3" fontId="8" numFmtId="0" xfId="0" applyAlignment="1" applyBorder="1" applyFont="1">
      <alignment horizontal="left"/>
    </xf>
    <xf borderId="25" fillId="0" fontId="2" numFmtId="0" xfId="0" applyBorder="1" applyFont="1"/>
    <xf borderId="26" fillId="0" fontId="2" numFmtId="0" xfId="0" applyBorder="1" applyFont="1"/>
    <xf borderId="24" fillId="4" fontId="9" numFmtId="0" xfId="0" applyAlignment="1" applyBorder="1" applyFont="1">
      <alignment horizontal="left" vertical="center"/>
    </xf>
    <xf borderId="13" fillId="0" fontId="6" numFmtId="0" xfId="0" applyAlignment="1" applyBorder="1" applyFont="1">
      <alignment horizontal="left"/>
    </xf>
    <xf borderId="27" fillId="0" fontId="2" numFmtId="0" xfId="0" applyBorder="1" applyFont="1"/>
    <xf borderId="28" fillId="0" fontId="2" numFmtId="0" xfId="0" applyBorder="1" applyFont="1"/>
    <xf borderId="29" fillId="4" fontId="9" numFmtId="0" xfId="0" applyAlignment="1" applyBorder="1" applyFont="1">
      <alignment horizontal="left" vertical="top"/>
    </xf>
    <xf borderId="30" fillId="0" fontId="2" numFmtId="0" xfId="0" applyBorder="1" applyFont="1"/>
    <xf borderId="31" fillId="0" fontId="2" numFmtId="0" xfId="0" applyBorder="1" applyFont="1"/>
    <xf borderId="13" fillId="0" fontId="10" numFmtId="0" xfId="0" applyAlignment="1" applyBorder="1" applyFont="1">
      <alignment horizontal="left"/>
    </xf>
    <xf borderId="32" fillId="0" fontId="2" numFmtId="0" xfId="0" applyBorder="1" applyFont="1"/>
    <xf borderId="6" fillId="0" fontId="6" numFmtId="49" xfId="0" applyAlignment="1" applyBorder="1" applyFont="1" applyNumberFormat="1">
      <alignment horizontal="left"/>
    </xf>
    <xf borderId="33" fillId="4" fontId="9" numFmtId="0" xfId="0" applyAlignment="1" applyBorder="1" applyFont="1">
      <alignment horizontal="left" vertical="center"/>
    </xf>
    <xf borderId="27" fillId="0" fontId="11" numFmtId="0" xfId="0" applyAlignment="1" applyBorder="1" applyFont="1">
      <alignment horizontal="left"/>
    </xf>
    <xf borderId="29" fillId="3" fontId="8" numFmtId="0" xfId="0" applyAlignment="1" applyBorder="1" applyFont="1">
      <alignment horizontal="left"/>
    </xf>
    <xf borderId="6" fillId="0" fontId="8" numFmtId="0" xfId="0" applyAlignment="1" applyBorder="1" applyFont="1">
      <alignment horizontal="left"/>
    </xf>
    <xf borderId="0" fillId="0" fontId="8" numFmtId="0" xfId="0" applyAlignment="1" applyFont="1">
      <alignment horizontal="left"/>
    </xf>
    <xf borderId="2" fillId="0" fontId="8" numFmtId="0" xfId="0" applyAlignment="1" applyBorder="1" applyFont="1">
      <alignment horizontal="left"/>
    </xf>
    <xf borderId="3" fillId="0" fontId="8" numFmtId="0" xfId="0" applyAlignment="1" applyBorder="1" applyFont="1">
      <alignment horizontal="left"/>
    </xf>
    <xf borderId="0" fillId="0" fontId="1" numFmtId="0" xfId="0" applyAlignment="1" applyFont="1">
      <alignment horizontal="left" shrinkToFit="0" vertical="top" wrapText="1"/>
    </xf>
    <xf borderId="0" fillId="0" fontId="1" numFmtId="0" xfId="0" applyFont="1"/>
    <xf borderId="13" fillId="0" fontId="1" numFmtId="0" xfId="0" applyAlignment="1" applyBorder="1" applyFont="1">
      <alignment horizontal="left" shrinkToFit="0" vertical="top" wrapText="1"/>
    </xf>
    <xf borderId="27" fillId="0" fontId="1" numFmtId="0" xfId="0" applyAlignment="1" applyBorder="1" applyFont="1">
      <alignment horizontal="left" shrinkToFit="0" vertical="top" wrapText="1"/>
    </xf>
    <xf borderId="28" fillId="0" fontId="1" numFmtId="0" xfId="0" applyAlignment="1" applyBorder="1" applyFont="1">
      <alignment horizontal="left" shrinkToFit="0" vertical="top" wrapText="1"/>
    </xf>
    <xf borderId="0" fillId="0" fontId="1" numFmtId="0" xfId="0" applyAlignment="1" applyFont="1">
      <alignment horizontal="right"/>
    </xf>
    <xf borderId="21" fillId="5" fontId="12" numFmtId="0" xfId="0" applyAlignment="1" applyBorder="1" applyFill="1" applyFont="1">
      <alignment horizontal="right" vertical="center"/>
    </xf>
    <xf borderId="34" fillId="0" fontId="2" numFmtId="0" xfId="0" applyBorder="1" applyFont="1"/>
    <xf borderId="35" fillId="5" fontId="13" numFmtId="0" xfId="0" applyAlignment="1" applyBorder="1" applyFont="1">
      <alignment horizontal="center" vertical="center"/>
    </xf>
    <xf borderId="0" fillId="0" fontId="1" numFmtId="0" xfId="0" applyAlignment="1" applyFont="1">
      <alignment horizontal="right" vertical="center"/>
    </xf>
    <xf borderId="0" fillId="0" fontId="12" numFmtId="0" xfId="0" applyAlignment="1" applyFont="1">
      <alignment horizontal="right"/>
    </xf>
    <xf borderId="0" fillId="0" fontId="13" numFmtId="0" xfId="0" applyAlignment="1" applyFont="1">
      <alignment horizontal="left"/>
    </xf>
    <xf borderId="24" fillId="3" fontId="14" numFmtId="0" xfId="0" applyAlignment="1" applyBorder="1" applyFont="1">
      <alignment horizontal="center" shrinkToFit="0" vertical="center" wrapText="1"/>
    </xf>
    <xf borderId="29" fillId="3" fontId="15" numFmtId="0" xfId="0" applyAlignment="1" applyBorder="1" applyFont="1">
      <alignment horizontal="center" shrinkToFit="0" vertical="center" wrapText="1"/>
    </xf>
    <xf borderId="0" fillId="0" fontId="1" numFmtId="0" xfId="0" applyAlignment="1" applyFont="1">
      <alignment vertical="center"/>
    </xf>
    <xf borderId="6" fillId="0" fontId="15" numFmtId="0" xfId="0" applyAlignment="1" applyBorder="1" applyFont="1">
      <alignment horizontal="center" shrinkToFit="0" vertical="center" wrapText="1"/>
    </xf>
    <xf borderId="0" fillId="0" fontId="16" numFmtId="0" xfId="0" applyAlignment="1" applyFont="1">
      <alignment horizontal="center" shrinkToFit="0" vertical="center" wrapText="1"/>
    </xf>
    <xf borderId="17" fillId="0" fontId="16" numFmtId="0" xfId="0" applyAlignment="1" applyBorder="1" applyFont="1">
      <alignment horizontal="center" shrinkToFit="0" vertical="center" wrapText="1"/>
    </xf>
    <xf borderId="0" fillId="0" fontId="17" numFmtId="0" xfId="0" applyAlignment="1" applyFont="1">
      <alignment horizontal="center" shrinkToFit="0" vertical="top" wrapText="1"/>
    </xf>
    <xf borderId="6" fillId="0" fontId="18" numFmtId="0" xfId="0" applyAlignment="1" applyBorder="1" applyFont="1">
      <alignment vertical="center"/>
    </xf>
    <xf borderId="0" fillId="0" fontId="19" numFmtId="0" xfId="0" applyAlignment="1" applyFont="1">
      <alignment horizontal="left" vertical="top"/>
    </xf>
    <xf borderId="0" fillId="0" fontId="20" numFmtId="0" xfId="0" applyAlignment="1" applyFont="1">
      <alignment horizontal="center" vertical="center"/>
    </xf>
    <xf borderId="17" fillId="0" fontId="1" numFmtId="0" xfId="0" applyBorder="1" applyFont="1"/>
    <xf borderId="6" fillId="0" fontId="1" numFmtId="0" xfId="0" applyBorder="1" applyFont="1"/>
    <xf borderId="0" fillId="0" fontId="21" numFmtId="0" xfId="0" applyFont="1"/>
    <xf borderId="21" fillId="6" fontId="22" numFmtId="0" xfId="0" applyAlignment="1" applyBorder="1" applyFill="1" applyFont="1">
      <alignment horizontal="left"/>
    </xf>
    <xf borderId="21" fillId="6" fontId="1" numFmtId="164" xfId="0" applyAlignment="1" applyBorder="1" applyFont="1" applyNumberFormat="1">
      <alignment horizontal="center" readingOrder="0"/>
    </xf>
    <xf borderId="0" fillId="0" fontId="22" numFmtId="164" xfId="0" applyFont="1" applyNumberFormat="1"/>
    <xf borderId="0" fillId="0" fontId="1" numFmtId="164" xfId="0" applyFont="1" applyNumberFormat="1"/>
    <xf borderId="17" fillId="0" fontId="1" numFmtId="164" xfId="0" applyBorder="1" applyFont="1" applyNumberFormat="1"/>
    <xf borderId="21" fillId="0" fontId="22" numFmtId="0" xfId="0" applyAlignment="1" applyBorder="1" applyFont="1">
      <alignment horizontal="left"/>
    </xf>
    <xf borderId="21" fillId="0" fontId="1" numFmtId="164" xfId="0" applyAlignment="1" applyBorder="1" applyFont="1" applyNumberFormat="1">
      <alignment horizontal="center" readingOrder="0"/>
    </xf>
    <xf borderId="0" fillId="0" fontId="22" numFmtId="0" xfId="0" applyAlignment="1" applyFont="1">
      <alignment horizontal="left"/>
    </xf>
    <xf borderId="0" fillId="0" fontId="22" numFmtId="164" xfId="0" applyAlignment="1" applyFont="1" applyNumberFormat="1">
      <alignment horizontal="center"/>
    </xf>
    <xf borderId="6" fillId="0" fontId="1" numFmtId="0" xfId="0" applyAlignment="1" applyBorder="1" applyFont="1">
      <alignment vertical="center"/>
    </xf>
    <xf borderId="0" fillId="0" fontId="1" numFmtId="164" xfId="0" applyAlignment="1" applyFont="1" applyNumberFormat="1">
      <alignment vertical="center"/>
    </xf>
    <xf borderId="17" fillId="0" fontId="1" numFmtId="164" xfId="0" applyAlignment="1" applyBorder="1" applyFont="1" applyNumberFormat="1">
      <alignment vertical="center"/>
    </xf>
    <xf borderId="21" fillId="7" fontId="23" numFmtId="0" xfId="0" applyAlignment="1" applyBorder="1" applyFill="1" applyFont="1">
      <alignment horizontal="right"/>
    </xf>
    <xf borderId="21" fillId="7" fontId="24" numFmtId="164" xfId="0" applyAlignment="1" applyBorder="1" applyFont="1" applyNumberFormat="1">
      <alignment horizontal="center"/>
    </xf>
    <xf borderId="0" fillId="0" fontId="25" numFmtId="0" xfId="0" applyAlignment="1" applyFont="1">
      <alignment horizontal="left" vertical="top"/>
    </xf>
    <xf borderId="21" fillId="0" fontId="1" numFmtId="164" xfId="0" applyAlignment="1" applyBorder="1" applyFont="1" applyNumberFormat="1">
      <alignment horizontal="center" readingOrder="0" vertical="center"/>
    </xf>
    <xf borderId="0" fillId="0" fontId="1" numFmtId="165" xfId="0" applyFont="1" applyNumberFormat="1"/>
    <xf borderId="17" fillId="0" fontId="1" numFmtId="165" xfId="0" applyBorder="1" applyFont="1" applyNumberFormat="1"/>
    <xf borderId="0" fillId="0" fontId="23" numFmtId="0" xfId="0" applyFont="1"/>
    <xf borderId="13" fillId="0" fontId="1" numFmtId="0" xfId="0" applyBorder="1" applyFont="1"/>
    <xf borderId="27" fillId="0" fontId="23" numFmtId="0" xfId="0" applyBorder="1" applyFont="1"/>
    <xf borderId="27" fillId="0" fontId="1" numFmtId="0" xfId="0" applyBorder="1" applyFont="1"/>
    <xf borderId="27" fillId="0" fontId="1" numFmtId="165" xfId="0" applyBorder="1" applyFont="1" applyNumberFormat="1"/>
    <xf borderId="28" fillId="0" fontId="1" numFmtId="165" xfId="0" applyBorder="1" applyFont="1" applyNumberFormat="1"/>
    <xf borderId="0" fillId="0" fontId="24" numFmtId="0" xfId="0" applyFont="1"/>
    <xf borderId="1" fillId="0" fontId="1" numFmtId="0" xfId="0" applyAlignment="1" applyBorder="1" applyFont="1">
      <alignment horizontal="left" shrinkToFit="0" vertical="top" wrapText="1"/>
    </xf>
    <xf borderId="0" fillId="0" fontId="26" numFmtId="0" xfId="0" applyAlignment="1" applyFont="1">
      <alignment horizontal="left" vertical="center"/>
    </xf>
    <xf borderId="0" fillId="0" fontId="26" numFmtId="0" xfId="0" applyAlignment="1" applyFont="1">
      <alignment horizontal="left"/>
    </xf>
    <xf borderId="0" fillId="0" fontId="27" numFmtId="0" xfId="0" applyAlignment="1" applyFont="1">
      <alignment horizontal="left" vertical="center"/>
    </xf>
    <xf borderId="0" fillId="0" fontId="27" numFmtId="0" xfId="0" applyAlignment="1" applyFont="1">
      <alignment vertical="center"/>
    </xf>
    <xf borderId="0" fillId="0" fontId="26" numFmtId="0" xfId="0" applyFont="1"/>
    <xf borderId="0" fillId="0" fontId="26" numFmtId="0" xfId="0" applyAlignment="1" applyFont="1">
      <alignment horizontal="right"/>
    </xf>
    <xf borderId="0" fillId="0" fontId="28" numFmtId="0" xfId="0" applyFont="1"/>
    <xf borderId="0" fillId="0" fontId="1" numFmtId="0" xfId="0" applyAlignment="1" applyFont="1">
      <alignment vertical="top"/>
    </xf>
    <xf borderId="21" fillId="5" fontId="12" numFmtId="0" xfId="0" applyAlignment="1" applyBorder="1" applyFont="1">
      <alignment horizontal="right"/>
    </xf>
    <xf borderId="35" fillId="5" fontId="13" numFmtId="0" xfId="0" applyAlignment="1" applyBorder="1" applyFont="1">
      <alignment horizontal="center"/>
    </xf>
    <xf borderId="0" fillId="0" fontId="12" numFmtId="0" xfId="0" applyAlignment="1" applyFont="1">
      <alignment horizontal="center"/>
    </xf>
    <xf borderId="24" fillId="3" fontId="14" numFmtId="0" xfId="0" applyAlignment="1" applyBorder="1" applyFont="1">
      <alignment horizontal="center" vertical="center"/>
    </xf>
    <xf borderId="29" fillId="3" fontId="15" numFmtId="0" xfId="0" applyAlignment="1" applyBorder="1" applyFont="1">
      <alignment horizontal="center" shrinkToFit="0" vertical="top" wrapText="1"/>
    </xf>
    <xf borderId="0" fillId="0" fontId="23" numFmtId="0" xfId="0" applyAlignment="1" applyFont="1">
      <alignment horizontal="center" vertical="center"/>
    </xf>
    <xf borderId="17" fillId="0" fontId="23" numFmtId="0" xfId="0" applyAlignment="1" applyBorder="1" applyFont="1">
      <alignment horizontal="center" shrinkToFit="0" wrapText="1"/>
    </xf>
    <xf borderId="6" fillId="0" fontId="29" numFmtId="0" xfId="0" applyBorder="1" applyFont="1"/>
    <xf borderId="21" fillId="6" fontId="22" numFmtId="0" xfId="0" applyAlignment="1" applyBorder="1" applyFont="1">
      <alignment horizontal="left" vertical="top"/>
    </xf>
    <xf borderId="21" fillId="6" fontId="22" numFmtId="164" xfId="0" applyAlignment="1" applyBorder="1" applyFont="1" applyNumberFormat="1">
      <alignment horizontal="center" readingOrder="0" vertical="top"/>
    </xf>
    <xf borderId="21" fillId="0" fontId="22" numFmtId="0" xfId="0" applyAlignment="1" applyBorder="1" applyFont="1">
      <alignment horizontal="left" vertical="top"/>
    </xf>
    <xf borderId="21" fillId="0" fontId="22" numFmtId="164" xfId="0" applyAlignment="1" applyBorder="1" applyFont="1" applyNumberFormat="1">
      <alignment horizontal="center" readingOrder="0" vertical="top"/>
    </xf>
    <xf borderId="0" fillId="0" fontId="1" numFmtId="164" xfId="0" applyAlignment="1" applyFont="1" applyNumberFormat="1">
      <alignment horizontal="center"/>
    </xf>
    <xf borderId="17" fillId="0" fontId="1" numFmtId="164" xfId="0" applyAlignment="1" applyBorder="1" applyFont="1" applyNumberFormat="1">
      <alignment horizontal="center"/>
    </xf>
    <xf borderId="21" fillId="7" fontId="30" numFmtId="0" xfId="0" applyAlignment="1" applyBorder="1" applyFont="1">
      <alignment horizontal="right" vertical="top"/>
    </xf>
    <xf borderId="21" fillId="7" fontId="30" numFmtId="164" xfId="0" applyAlignment="1" applyBorder="1" applyFont="1" applyNumberFormat="1">
      <alignment horizontal="center" vertical="center"/>
    </xf>
    <xf borderId="0" fillId="0" fontId="23" numFmtId="0" xfId="0" applyAlignment="1" applyFont="1">
      <alignment horizontal="right" vertical="top"/>
    </xf>
    <xf borderId="0" fillId="0" fontId="23" numFmtId="165" xfId="0" applyAlignment="1" applyFont="1" applyNumberFormat="1">
      <alignment horizontal="center" vertical="center"/>
    </xf>
    <xf borderId="0" fillId="0" fontId="31" numFmtId="0" xfId="0" applyAlignment="1" applyFont="1">
      <alignment horizontal="left" vertical="center"/>
    </xf>
    <xf borderId="21" fillId="6" fontId="1" numFmtId="0" xfId="0" applyAlignment="1" applyBorder="1" applyFont="1">
      <alignment horizontal="left" vertical="center"/>
    </xf>
    <xf borderId="21" fillId="0" fontId="1" numFmtId="0" xfId="0" applyAlignment="1" applyBorder="1" applyFont="1">
      <alignment horizontal="left" vertical="center"/>
    </xf>
    <xf borderId="0" fillId="0" fontId="32" numFmtId="0" xfId="0" applyAlignment="1" applyFont="1">
      <alignment horizontal="left" vertical="center"/>
    </xf>
    <xf borderId="21" fillId="6" fontId="1" numFmtId="0" xfId="0" applyAlignment="1" applyBorder="1" applyFont="1">
      <alignment horizontal="left"/>
    </xf>
    <xf borderId="21" fillId="0" fontId="1" numFmtId="0" xfId="0" applyAlignment="1" applyBorder="1" applyFont="1">
      <alignment horizontal="left"/>
    </xf>
    <xf borderId="21" fillId="7" fontId="24" numFmtId="0" xfId="0" applyAlignment="1" applyBorder="1" applyFont="1">
      <alignment horizontal="right"/>
    </xf>
    <xf borderId="0" fillId="0" fontId="33" numFmtId="0" xfId="0" applyAlignment="1" applyFont="1">
      <alignment horizontal="left"/>
    </xf>
    <xf borderId="21" fillId="6" fontId="1" numFmtId="164" xfId="0" applyAlignment="1" applyBorder="1" applyFont="1" applyNumberFormat="1">
      <alignment horizontal="center" readingOrder="0" vertical="center"/>
    </xf>
    <xf borderId="21" fillId="7" fontId="23" numFmtId="0" xfId="0" applyAlignment="1" applyBorder="1" applyFont="1">
      <alignment horizontal="right" vertical="center"/>
    </xf>
    <xf borderId="21" fillId="7" fontId="23" numFmtId="164" xfId="0" applyAlignment="1" applyBorder="1" applyFont="1" applyNumberFormat="1">
      <alignment horizontal="center" vertical="center"/>
    </xf>
    <xf borderId="27" fillId="0" fontId="1" numFmtId="164" xfId="0" applyAlignment="1" applyBorder="1" applyFont="1" applyNumberFormat="1">
      <alignment horizontal="center"/>
    </xf>
    <xf borderId="28" fillId="0" fontId="1" numFmtId="164" xfId="0" applyAlignment="1" applyBorder="1" applyFont="1" applyNumberFormat="1">
      <alignment horizontal="center"/>
    </xf>
    <xf borderId="0" fillId="0" fontId="1" numFmtId="0" xfId="0" applyAlignment="1" applyFont="1">
      <alignment horizontal="left" vertical="top"/>
    </xf>
    <xf borderId="0" fillId="0" fontId="34" numFmtId="0" xfId="0" applyFont="1"/>
    <xf borderId="0" fillId="0" fontId="24" numFmtId="0" xfId="0" applyAlignment="1" applyFont="1">
      <alignment horizontal="left" vertical="center"/>
    </xf>
    <xf borderId="0" fillId="0" fontId="24" numFmtId="0" xfId="0" applyAlignment="1" applyFont="1">
      <alignment horizontal="left"/>
    </xf>
    <xf borderId="0" fillId="0" fontId="24" numFmtId="0" xfId="0" applyAlignment="1" applyFont="1">
      <alignment vertical="center"/>
    </xf>
    <xf borderId="0" fillId="0" fontId="24" numFmtId="0" xfId="0" applyAlignment="1" applyFont="1">
      <alignment horizontal="right"/>
    </xf>
    <xf borderId="21" fillId="5" fontId="12" numFmtId="0" xfId="0" applyAlignment="1" applyBorder="1" applyFont="1">
      <alignment horizontal="center" vertical="center"/>
    </xf>
    <xf borderId="0" fillId="0" fontId="12" numFmtId="0" xfId="0" applyAlignment="1" applyFont="1">
      <alignment horizontal="center" vertical="center"/>
    </xf>
    <xf borderId="0" fillId="0" fontId="13" numFmtId="0" xfId="0" applyAlignment="1" applyFont="1">
      <alignment horizontal="left" vertical="center"/>
    </xf>
    <xf borderId="0" fillId="0" fontId="35" numFmtId="0" xfId="0" applyFont="1"/>
    <xf borderId="29" fillId="3" fontId="14" numFmtId="0" xfId="0" applyAlignment="1" applyBorder="1" applyFont="1">
      <alignment horizontal="center" vertical="center"/>
    </xf>
    <xf borderId="36" fillId="2" fontId="36" numFmtId="0" xfId="0" applyAlignment="1" applyBorder="1" applyFont="1">
      <alignment horizontal="center" vertical="center"/>
    </xf>
    <xf borderId="37" fillId="0" fontId="2" numFmtId="0" xfId="0" applyBorder="1" applyFont="1"/>
    <xf borderId="38" fillId="0" fontId="2" numFmtId="0" xfId="0" applyBorder="1" applyFont="1"/>
    <xf borderId="0" fillId="0" fontId="37" numFmtId="0" xfId="0" applyFont="1"/>
    <xf borderId="17" fillId="0" fontId="22" numFmtId="164" xfId="0" applyBorder="1" applyFont="1" applyNumberFormat="1"/>
    <xf borderId="0" fillId="0" fontId="38" numFmtId="0" xfId="0" applyAlignment="1" applyFont="1">
      <alignment vertical="top"/>
    </xf>
    <xf borderId="21" fillId="6" fontId="22" numFmtId="49" xfId="0" applyAlignment="1" applyBorder="1" applyFont="1" applyNumberFormat="1">
      <alignment horizontal="left" vertical="top"/>
    </xf>
    <xf borderId="21" fillId="0" fontId="22" numFmtId="49" xfId="0" applyAlignment="1" applyBorder="1" applyFont="1" applyNumberFormat="1">
      <alignment horizontal="left" vertical="top"/>
    </xf>
    <xf borderId="0" fillId="0" fontId="23" numFmtId="0" xfId="0" applyAlignment="1" applyFont="1">
      <alignment horizontal="right"/>
    </xf>
    <xf borderId="17" fillId="0" fontId="39" numFmtId="0" xfId="0" applyAlignment="1" applyBorder="1" applyFont="1">
      <alignment horizontal="left" vertical="top"/>
    </xf>
    <xf borderId="0" fillId="0" fontId="24" numFmtId="0" xfId="0" applyAlignment="1" applyFont="1">
      <alignment horizontal="left" shrinkToFit="0" wrapText="1"/>
    </xf>
    <xf borderId="0" fillId="0" fontId="13" numFmtId="0" xfId="0" applyFont="1"/>
    <xf borderId="24" fillId="3" fontId="16" numFmtId="0" xfId="0" applyAlignment="1" applyBorder="1" applyFont="1">
      <alignment horizontal="center"/>
    </xf>
    <xf borderId="6" fillId="0" fontId="16" numFmtId="0" xfId="0" applyAlignment="1" applyBorder="1" applyFont="1">
      <alignment horizontal="center"/>
    </xf>
    <xf borderId="0" fillId="0" fontId="16" numFmtId="0" xfId="0" applyAlignment="1" applyFont="1">
      <alignment horizontal="center"/>
    </xf>
    <xf borderId="17" fillId="0" fontId="16" numFmtId="0" xfId="0" applyAlignment="1" applyBorder="1" applyFont="1">
      <alignment horizontal="center"/>
    </xf>
    <xf borderId="1" fillId="4" fontId="1" numFmtId="0" xfId="0" applyAlignment="1" applyBorder="1" applyFont="1">
      <alignment horizontal="left" shrinkToFit="0" vertical="center" wrapText="1"/>
    </xf>
    <xf borderId="1" fillId="0" fontId="1" numFmtId="0" xfId="0" applyAlignment="1" applyBorder="1" applyFont="1">
      <alignment horizontal="left" readingOrder="0" shrinkToFit="0" vertical="top" wrapText="1"/>
    </xf>
    <xf borderId="0" fillId="0" fontId="1" numFmtId="0" xfId="0" applyAlignment="1" applyFont="1">
      <alignment horizontal="left" shrinkToFit="0" wrapText="1"/>
    </xf>
    <xf borderId="0" fillId="0" fontId="30" numFmtId="0" xfId="0" applyAlignment="1" applyFont="1">
      <alignment horizontal="center"/>
    </xf>
    <xf borderId="39" fillId="0" fontId="1" numFmtId="0" xfId="0" applyBorder="1" applyFont="1"/>
    <xf borderId="39" fillId="0" fontId="40" numFmtId="0" xfId="0" applyAlignment="1" applyBorder="1" applyFont="1">
      <alignment horizontal="center"/>
    </xf>
    <xf borderId="39" fillId="0" fontId="40" numFmtId="0" xfId="0" applyAlignment="1" applyBorder="1" applyFont="1">
      <alignment horizontal="left"/>
    </xf>
    <xf borderId="39" fillId="0" fontId="2" numFmtId="0" xfId="0" applyBorder="1" applyFont="1"/>
    <xf borderId="39" fillId="0" fontId="40" numFmtId="0" xfId="0" applyBorder="1" applyFont="1"/>
    <xf borderId="0" fillId="0" fontId="40" numFmtId="0" xfId="0" applyFont="1"/>
    <xf borderId="0" fillId="0" fontId="41" numFmtId="0" xfId="0" applyAlignment="1" applyFont="1">
      <alignment horizontal="center"/>
    </xf>
    <xf borderId="0" fillId="0" fontId="41" numFmtId="0" xfId="0" applyFont="1"/>
    <xf borderId="0" fillId="0" fontId="1" numFmtId="0" xfId="0" applyAlignment="1" applyFont="1">
      <alignment horizontal="right" shrinkToFit="0" wrapText="1"/>
    </xf>
    <xf borderId="0" fillId="0" fontId="1" numFmtId="0" xfId="0" applyAlignment="1" applyFont="1">
      <alignment shrinkToFit="0" vertical="top" wrapText="1"/>
    </xf>
    <xf borderId="0" fillId="0" fontId="24" numFmtId="0" xfId="0" applyAlignment="1" applyFont="1">
      <alignment horizontal="left" shrinkToFit="0" vertical="top" wrapText="1"/>
    </xf>
    <xf borderId="0" fillId="0" fontId="24" numFmtId="0" xfId="0" applyAlignment="1" applyFont="1">
      <alignment shrinkToFit="0" vertical="top" wrapText="1"/>
    </xf>
    <xf borderId="0" fillId="0" fontId="24" numFmtId="0" xfId="0" applyAlignment="1" applyFont="1">
      <alignment horizontal="left" shrinkToFit="0" vertical="center" wrapText="1"/>
    </xf>
    <xf borderId="0" fillId="0" fontId="1" numFmtId="49" xfId="0" applyAlignment="1" applyFont="1" applyNumberFormat="1">
      <alignment horizontal="left" shrinkToFit="0" vertical="top" wrapText="1"/>
    </xf>
    <xf borderId="21" fillId="8" fontId="16" numFmtId="0" xfId="0" applyAlignment="1" applyBorder="1" applyFill="1" applyFont="1">
      <alignment horizontal="left"/>
    </xf>
    <xf borderId="24" fillId="4" fontId="1" numFmtId="0" xfId="0" applyAlignment="1" applyBorder="1" applyFont="1">
      <alignment shrinkToFit="0" wrapText="1"/>
    </xf>
    <xf borderId="1" fillId="0" fontId="1" numFmtId="0" xfId="0" applyAlignment="1" applyBorder="1" applyFont="1">
      <alignment horizontal="center" shrinkToFit="0" vertical="center" wrapText="1"/>
    </xf>
    <xf borderId="40" fillId="4" fontId="1" numFmtId="0" xfId="0" applyAlignment="1" applyBorder="1" applyFont="1">
      <alignment horizontal="left" shrinkToFit="0" wrapText="1"/>
    </xf>
    <xf borderId="41" fillId="0" fontId="2" numFmtId="0" xfId="0" applyBorder="1" applyFont="1"/>
    <xf borderId="42" fillId="0" fontId="2" numFmtId="0" xfId="0" applyBorder="1" applyFont="1"/>
    <xf borderId="21" fillId="4" fontId="1" numFmtId="0" xfId="0" applyBorder="1" applyFont="1"/>
    <xf borderId="27" fillId="0" fontId="1" numFmtId="0" xfId="0" applyAlignment="1" applyBorder="1" applyFont="1">
      <alignment horizontal="center" vertical="center"/>
    </xf>
    <xf borderId="27" fillId="0" fontId="1" numFmtId="0" xfId="0" applyAlignment="1" applyBorder="1" applyFont="1">
      <alignment horizontal="center" shrinkToFit="0" vertical="center" wrapText="1"/>
    </xf>
    <xf borderId="21" fillId="6" fontId="1" numFmtId="166" xfId="0" applyAlignment="1" applyBorder="1" applyFont="1" applyNumberFormat="1">
      <alignment horizontal="right"/>
    </xf>
    <xf borderId="21" fillId="6" fontId="1" numFmtId="166" xfId="0" applyAlignment="1" applyBorder="1" applyFont="1" applyNumberFormat="1">
      <alignment horizontal="center"/>
    </xf>
    <xf borderId="21" fillId="9" fontId="1" numFmtId="0" xfId="0" applyAlignment="1" applyBorder="1" applyFill="1" applyFont="1">
      <alignment horizontal="left"/>
    </xf>
    <xf borderId="21" fillId="0" fontId="1" numFmtId="166" xfId="0" applyAlignment="1" applyBorder="1" applyFont="1" applyNumberFormat="1">
      <alignment horizontal="right"/>
    </xf>
    <xf borderId="21" fillId="9" fontId="1" numFmtId="166" xfId="0" applyAlignment="1" applyBorder="1" applyFont="1" applyNumberFormat="1">
      <alignment horizontal="right"/>
    </xf>
    <xf borderId="21" fillId="9" fontId="1" numFmtId="166" xfId="0" applyAlignment="1" applyBorder="1" applyFont="1" applyNumberFormat="1">
      <alignment horizontal="center"/>
    </xf>
    <xf borderId="21" fillId="10" fontId="1" numFmtId="166" xfId="0" applyAlignment="1" applyBorder="1" applyFill="1" applyFont="1" applyNumberFormat="1">
      <alignment horizontal="right"/>
    </xf>
    <xf borderId="21" fillId="10" fontId="1" numFmtId="166" xfId="0" applyAlignment="1" applyBorder="1" applyFont="1" applyNumberFormat="1">
      <alignment horizontal="center"/>
    </xf>
    <xf borderId="21" fillId="9" fontId="1" numFmtId="0" xfId="0" applyBorder="1" applyFont="1"/>
    <xf borderId="21" fillId="7" fontId="24" numFmtId="166" xfId="0" applyAlignment="1" applyBorder="1" applyFont="1" applyNumberFormat="1">
      <alignment horizontal="right"/>
    </xf>
    <xf borderId="24" fillId="4" fontId="1" numFmtId="0" xfId="0" applyAlignment="1" applyBorder="1" applyFont="1">
      <alignment horizontal="left" vertical="center"/>
    </xf>
    <xf borderId="29" fillId="4" fontId="1" numFmtId="0" xfId="0" applyAlignment="1" applyBorder="1" applyFont="1">
      <alignment horizontal="left" vertical="center"/>
    </xf>
    <xf borderId="40" fillId="4" fontId="1" numFmtId="0" xfId="0" applyAlignment="1" applyBorder="1" applyFont="1">
      <alignment horizontal="left" vertical="center"/>
    </xf>
    <xf borderId="1" fillId="0" fontId="1" numFmtId="49" xfId="0" applyAlignment="1" applyBorder="1" applyFont="1" applyNumberFormat="1">
      <alignment horizontal="left" readingOrder="0" shrinkToFit="0" vertical="top" wrapText="1"/>
    </xf>
    <xf borderId="0" fillId="0" fontId="1" numFmtId="49" xfId="0" applyAlignment="1" applyFont="1" applyNumberFormat="1">
      <alignment shrinkToFit="0" vertical="top" wrapText="1"/>
    </xf>
    <xf borderId="0" fillId="0" fontId="1" numFmtId="0" xfId="0" applyAlignment="1" applyFont="1">
      <alignment horizontal="center" vertical="center"/>
    </xf>
    <xf borderId="22" fillId="0" fontId="1" numFmtId="0" xfId="0" applyAlignment="1" applyBorder="1" applyFont="1">
      <alignment horizontal="left" shrinkToFit="0" vertical="top" wrapText="1"/>
    </xf>
    <xf borderId="13" fillId="0" fontId="1" numFmtId="0" xfId="0" applyAlignment="1" applyBorder="1" applyFont="1">
      <alignment horizontal="center" vertical="center"/>
    </xf>
    <xf borderId="0" fillId="0" fontId="1" numFmtId="0" xfId="0" applyAlignment="1" applyFont="1">
      <alignment horizontal="left" shrinkToFit="0" vertical="center" wrapText="1"/>
    </xf>
    <xf borderId="1" fillId="0" fontId="1" numFmtId="0" xfId="0" applyAlignment="1" applyBorder="1" applyFont="1">
      <alignment horizontal="center" vertical="center"/>
    </xf>
    <xf borderId="6" fillId="0" fontId="1" numFmtId="0" xfId="0" applyAlignment="1" applyBorder="1" applyFont="1">
      <alignment horizontal="left" shrinkToFit="0" vertical="top" wrapText="1"/>
    </xf>
    <xf borderId="17" fillId="0" fontId="1" numFmtId="0" xfId="0" applyAlignment="1" applyBorder="1" applyFont="1">
      <alignment horizontal="left" shrinkToFit="0" vertical="top" wrapText="1"/>
    </xf>
    <xf borderId="2" fillId="0" fontId="1" numFmtId="0" xfId="0" applyAlignment="1" applyBorder="1" applyFont="1">
      <alignment horizontal="left" shrinkToFit="0" vertical="top" wrapText="1"/>
    </xf>
    <xf borderId="22" fillId="0" fontId="1" numFmtId="0" xfId="0" applyAlignment="1" applyBorder="1" applyFont="1">
      <alignment horizontal="center" vertical="center"/>
    </xf>
    <xf borderId="22" fillId="0" fontId="1" numFmtId="0" xfId="0" applyAlignment="1" applyBorder="1" applyFont="1">
      <alignment horizontal="center" shrinkToFit="0" vertical="center" wrapText="1"/>
    </xf>
    <xf borderId="1" fillId="0" fontId="1" numFmtId="49" xfId="0" applyAlignment="1" applyBorder="1" applyFont="1" applyNumberFormat="1">
      <alignment horizontal="left" shrinkToFit="0" vertical="top" wrapText="1"/>
    </xf>
    <xf borderId="43" fillId="4" fontId="42" numFmtId="0" xfId="0" applyAlignment="1" applyBorder="1" applyFont="1">
      <alignment horizontal="center" vertical="center"/>
    </xf>
    <xf borderId="44" fillId="0" fontId="2" numFmtId="0" xfId="0" applyBorder="1" applyFont="1"/>
    <xf borderId="45" fillId="0" fontId="2" numFmtId="0" xfId="0" applyBorder="1" applyFont="1"/>
    <xf borderId="0" fillId="0" fontId="43" numFmtId="0" xfId="0" applyFont="1"/>
    <xf borderId="35" fillId="5" fontId="13" numFmtId="0" xfId="0" applyAlignment="1" applyBorder="1" applyFont="1">
      <alignment horizontal="left"/>
    </xf>
    <xf borderId="29" fillId="8" fontId="15" numFmtId="0" xfId="0" applyAlignment="1" applyBorder="1" applyFont="1">
      <alignment horizontal="center" shrinkToFit="0" vertical="center" wrapText="1"/>
    </xf>
    <xf borderId="46" fillId="0" fontId="2" numFmtId="0" xfId="0" applyBorder="1" applyFont="1"/>
    <xf borderId="0" fillId="0" fontId="44" numFmtId="0" xfId="0" applyAlignment="1" applyFont="1">
      <alignment horizontal="center"/>
    </xf>
    <xf borderId="47" fillId="11" fontId="24" numFmtId="0" xfId="0" applyAlignment="1" applyBorder="1" applyFill="1" applyFont="1">
      <alignment horizontal="center" vertical="center"/>
    </xf>
    <xf borderId="47" fillId="11" fontId="24" numFmtId="164" xfId="0" applyBorder="1" applyFont="1" applyNumberFormat="1"/>
    <xf borderId="0" fillId="0" fontId="45" numFmtId="0" xfId="0" applyAlignment="1" applyFont="1">
      <alignment horizontal="center"/>
    </xf>
    <xf borderId="0" fillId="0" fontId="22" numFmtId="0" xfId="0" applyFont="1"/>
    <xf borderId="29" fillId="8" fontId="14" numFmtId="0" xfId="0" applyAlignment="1" applyBorder="1" applyFont="1">
      <alignment horizontal="center" shrinkToFit="0" vertical="center" wrapText="1"/>
    </xf>
    <xf borderId="47" fillId="11" fontId="30" numFmtId="0" xfId="0" applyAlignment="1" applyBorder="1" applyFont="1">
      <alignment horizontal="center" vertical="center"/>
    </xf>
    <xf borderId="21" fillId="5" fontId="12" numFmtId="0" xfId="0" applyAlignment="1" applyBorder="1" applyFont="1">
      <alignment horizontal="center"/>
    </xf>
    <xf borderId="0" fillId="0" fontId="24" numFmtId="0" xfId="0" applyAlignment="1" applyFont="1">
      <alignment horizontal="center" shrinkToFit="0" vertical="top" wrapText="1"/>
    </xf>
    <xf borderId="13" fillId="0" fontId="24" numFmtId="0" xfId="0" applyAlignment="1" applyBorder="1" applyFont="1">
      <alignment horizontal="center"/>
    </xf>
    <xf borderId="21" fillId="12" fontId="1" numFmtId="0" xfId="0" applyAlignment="1" applyBorder="1" applyFill="1" applyFont="1">
      <alignment horizontal="left"/>
    </xf>
    <xf borderId="12" fillId="10" fontId="1" numFmtId="0" xfId="0" applyBorder="1" applyFont="1"/>
    <xf borderId="47" fillId="12" fontId="1" numFmtId="0" xfId="0" applyBorder="1" applyFont="1"/>
    <xf borderId="47" fillId="0" fontId="1" numFmtId="0" xfId="0" applyBorder="1" applyFont="1"/>
    <xf borderId="1" fillId="0" fontId="1" numFmtId="0" xfId="0" applyAlignment="1" applyBorder="1" applyFont="1">
      <alignment horizontal="left"/>
    </xf>
    <xf borderId="6" fillId="0" fontId="1" numFmtId="0" xfId="0" applyAlignment="1" applyBorder="1" applyFont="1">
      <alignment horizontal="left"/>
    </xf>
    <xf borderId="13" fillId="0" fontId="1" numFmtId="0" xfId="0" applyAlignment="1" applyBorder="1" applyFont="1">
      <alignment horizontal="left"/>
    </xf>
    <xf borderId="48" fillId="12" fontId="1" numFmtId="0" xfId="0" applyBorder="1" applyFont="1"/>
    <xf borderId="49" fillId="12" fontId="1" numFmtId="0" xfId="0" applyBorder="1" applyFont="1"/>
    <xf borderId="47" fillId="0" fontId="1" numFmtId="0" xfId="0" applyAlignment="1" applyBorder="1" applyFont="1">
      <alignment horizontal="center"/>
    </xf>
    <xf borderId="5" fillId="12" fontId="1" numFmtId="0" xfId="0" applyBorder="1" applyFont="1"/>
    <xf borderId="29" fillId="12" fontId="1" numFmtId="0" xfId="0" applyAlignment="1" applyBorder="1" applyFont="1">
      <alignment horizontal="left"/>
    </xf>
    <xf borderId="40" fillId="12" fontId="1" numFmtId="0" xfId="0" applyAlignment="1" applyBorder="1" applyFont="1">
      <alignment horizontal="left"/>
    </xf>
    <xf borderId="48" fillId="12" fontId="1" numFmtId="0" xfId="0" applyAlignment="1" applyBorder="1" applyFont="1">
      <alignment horizontal="left"/>
    </xf>
    <xf borderId="49" fillId="12" fontId="1" numFmtId="0" xfId="0" applyAlignment="1" applyBorder="1" applyFont="1">
      <alignment horizontal="left"/>
    </xf>
    <xf borderId="5" fillId="12" fontId="1" numFmtId="0" xfId="0" applyAlignment="1" applyBorder="1" applyFont="1">
      <alignment horizontal="left"/>
    </xf>
    <xf borderId="24" fillId="12" fontId="1" numFmtId="0" xfId="0" applyAlignment="1" applyBorder="1" applyFont="1">
      <alignment horizontal="left"/>
    </xf>
    <xf borderId="49" fillId="12" fontId="46" numFmtId="0" xfId="0" applyBorder="1" applyFont="1"/>
    <xf borderId="47" fillId="0" fontId="46" numFmtId="0" xfId="0" applyAlignment="1" applyBorder="1" applyFont="1">
      <alignment horizontal="center"/>
    </xf>
    <xf borderId="50" fillId="12" fontId="1" numFmtId="0" xfId="0" applyBorder="1" applyFont="1"/>
    <xf borderId="12" fillId="12" fontId="1" numFmtId="0" xfId="0" applyBorder="1" applyFont="1"/>
    <xf borderId="51" fillId="0" fontId="1" numFmtId="0" xfId="0" applyAlignment="1" applyBorder="1" applyFont="1">
      <alignment horizontal="center"/>
    </xf>
    <xf borderId="8" fillId="12" fontId="1" numFmtId="0" xfId="0" applyBorder="1" applyFont="1"/>
    <xf borderId="24" fillId="5" fontId="12" numFmtId="0" xfId="0" applyAlignment="1" applyBorder="1" applyFont="1">
      <alignment horizontal="center"/>
    </xf>
    <xf borderId="1" fillId="12" fontId="1" numFmtId="0" xfId="0" applyAlignment="1" applyBorder="1" applyFont="1">
      <alignment horizontal="left" shrinkToFit="0" vertical="top" wrapText="1"/>
    </xf>
    <xf borderId="0" fillId="0" fontId="1" numFmtId="14" xfId="0" applyAlignment="1" applyFont="1" applyNumberFormat="1">
      <alignment horizontal="left"/>
    </xf>
    <xf borderId="0" fillId="0" fontId="1" numFmtId="1" xfId="0" applyFont="1" applyNumberFormat="1"/>
    <xf borderId="0" fillId="0" fontId="47" numFmtId="0" xfId="0" applyFont="1"/>
    <xf borderId="0" fillId="0" fontId="1" numFmtId="49" xfId="0" applyFont="1" applyNumberFormat="1"/>
    <xf borderId="0" fillId="0" fontId="1" numFmtId="166" xfId="0" applyFont="1" applyNumberFormat="1"/>
    <xf borderId="0" fillId="0" fontId="1" numFmtId="167" xfId="0" applyFont="1" applyNumberFormat="1"/>
    <xf borderId="0" fillId="0" fontId="4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18" Type="http://schemas.openxmlformats.org/officeDocument/2006/relationships/worksheet" Target="worksheets/sheet15.xml"/><Relationship Id="rId8" Type="http://schemas.openxmlformats.org/officeDocument/2006/relationships/worksheet" Target="worksheets/sheet5.xml"/><Relationship Id="rId26" Type="http://schemas.openxmlformats.org/officeDocument/2006/relationships/customXml" Target="../customXml/item3.xml"/><Relationship Id="rId21" Type="http://schemas.openxmlformats.org/officeDocument/2006/relationships/worksheet" Target="worksheets/sheet18.xml"/><Relationship Id="rId3" Type="http://schemas.openxmlformats.org/officeDocument/2006/relationships/sharedStrings" Target="sharedStrings.xml"/><Relationship Id="rId12" Type="http://schemas.openxmlformats.org/officeDocument/2006/relationships/worksheet" Target="worksheets/sheet9.xml"/><Relationship Id="rId17" Type="http://schemas.openxmlformats.org/officeDocument/2006/relationships/worksheet" Target="worksheets/sheet14.xml"/><Relationship Id="rId7" Type="http://schemas.openxmlformats.org/officeDocument/2006/relationships/worksheet" Target="worksheets/sheet4.xml"/><Relationship Id="rId25" Type="http://schemas.openxmlformats.org/officeDocument/2006/relationships/customXml" Target="../customXml/item2.xml"/><Relationship Id="rId20" Type="http://schemas.openxmlformats.org/officeDocument/2006/relationships/worksheet" Target="worksheets/sheet17.xml"/><Relationship Id="rId2" Type="http://schemas.openxmlformats.org/officeDocument/2006/relationships/styles" Target="styles.xml"/><Relationship Id="rId16" Type="http://schemas.openxmlformats.org/officeDocument/2006/relationships/worksheet" Target="worksheets/sheet13.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24" Type="http://schemas.openxmlformats.org/officeDocument/2006/relationships/customXml" Target="../customXml/item1.xml"/><Relationship Id="rId23" Type="http://customschemas.google.com/relationships/workbookmetadata" Target="metadata"/><Relationship Id="rId15" Type="http://schemas.openxmlformats.org/officeDocument/2006/relationships/worksheet" Target="worksheets/sheet12.xml"/><Relationship Id="rId5" Type="http://schemas.openxmlformats.org/officeDocument/2006/relationships/worksheet" Target="worksheets/sheet2.xml"/><Relationship Id="rId10" Type="http://schemas.openxmlformats.org/officeDocument/2006/relationships/worksheet" Target="worksheets/sheet7.xml"/><Relationship Id="rId19" Type="http://schemas.openxmlformats.org/officeDocument/2006/relationships/worksheet" Target="worksheets/sheet16.xml"/><Relationship Id="rId22" Type="http://schemas.openxmlformats.org/officeDocument/2006/relationships/worksheet" Target="worksheets/sheet19.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68</xdr:row>
      <xdr:rowOff>0</xdr:rowOff>
    </xdr:from>
    <xdr:ext cx="85725" cy="209550"/>
    <xdr:sp>
      <xdr:nvSpPr>
        <xdr:cNvPr id="3" name="Shape 3"/>
        <xdr:cNvSpPr txBox="1"/>
      </xdr:nvSpPr>
      <xdr:spPr>
        <a:xfrm>
          <a:off x="5307900" y="3679988"/>
          <a:ext cx="76200"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87</xdr:row>
      <xdr:rowOff>0</xdr:rowOff>
    </xdr:from>
    <xdr:ext cx="38100" cy="114300"/>
    <xdr:sp>
      <xdr:nvSpPr>
        <xdr:cNvPr id="4" name="Shape 4"/>
        <xdr:cNvSpPr txBox="1"/>
      </xdr:nvSpPr>
      <xdr:spPr>
        <a:xfrm>
          <a:off x="5331713" y="3722850"/>
          <a:ext cx="28575" cy="114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90</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571500</xdr:colOff>
      <xdr:row>229</xdr:row>
      <xdr:rowOff>0</xdr:rowOff>
    </xdr:from>
    <xdr:ext cx="161925" cy="171450"/>
    <xdr:sp>
      <xdr:nvSpPr>
        <xdr:cNvPr id="7" name="Shape 7"/>
        <xdr:cNvSpPr txBox="1"/>
      </xdr:nvSpPr>
      <xdr:spPr>
        <a:xfrm>
          <a:off x="5269800" y="3699038"/>
          <a:ext cx="15240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38100" cy="104775"/>
    <xdr:sp>
      <xdr:nvSpPr>
        <xdr:cNvPr id="8" name="Shape 8"/>
        <xdr:cNvSpPr txBox="1"/>
      </xdr:nvSpPr>
      <xdr:spPr>
        <a:xfrm>
          <a:off x="5331713" y="3727613"/>
          <a:ext cx="28575"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161925" cy="171450"/>
    <xdr:sp>
      <xdr:nvSpPr>
        <xdr:cNvPr id="7" name="Shape 7"/>
        <xdr:cNvSpPr txBox="1"/>
      </xdr:nvSpPr>
      <xdr:spPr>
        <a:xfrm>
          <a:off x="5269800" y="3699038"/>
          <a:ext cx="15240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38100" cy="104775"/>
    <xdr:sp>
      <xdr:nvSpPr>
        <xdr:cNvPr id="8" name="Shape 8"/>
        <xdr:cNvSpPr txBox="1"/>
      </xdr:nvSpPr>
      <xdr:spPr>
        <a:xfrm>
          <a:off x="5331713" y="3727613"/>
          <a:ext cx="28575"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161925" cy="171450"/>
    <xdr:sp>
      <xdr:nvSpPr>
        <xdr:cNvPr id="7" name="Shape 7"/>
        <xdr:cNvSpPr txBox="1"/>
      </xdr:nvSpPr>
      <xdr:spPr>
        <a:xfrm>
          <a:off x="5269800" y="3699038"/>
          <a:ext cx="15240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xdr:col>
      <xdr:colOff>228600</xdr:colOff>
      <xdr:row>229</xdr:row>
      <xdr:rowOff>0</xdr:rowOff>
    </xdr:from>
    <xdr:ext cx="38100" cy="104775"/>
    <xdr:sp>
      <xdr:nvSpPr>
        <xdr:cNvPr id="8" name="Shape 8"/>
        <xdr:cNvSpPr txBox="1"/>
      </xdr:nvSpPr>
      <xdr:spPr>
        <a:xfrm>
          <a:off x="5331713" y="3727613"/>
          <a:ext cx="28575"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177</xdr:row>
      <xdr:rowOff>0</xdr:rowOff>
    </xdr:from>
    <xdr:ext cx="161925" cy="200025"/>
    <xdr:sp>
      <xdr:nvSpPr>
        <xdr:cNvPr id="9" name="Shape 9"/>
        <xdr:cNvSpPr txBox="1"/>
      </xdr:nvSpPr>
      <xdr:spPr>
        <a:xfrm>
          <a:off x="5269800" y="3684750"/>
          <a:ext cx="1524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177</xdr:row>
      <xdr:rowOff>0</xdr:rowOff>
    </xdr:from>
    <xdr:ext cx="38100" cy="95250"/>
    <xdr:sp>
      <xdr:nvSpPr>
        <xdr:cNvPr id="10" name="Shape 10"/>
        <xdr:cNvSpPr txBox="1"/>
      </xdr:nvSpPr>
      <xdr:spPr>
        <a:xfrm>
          <a:off x="5331713" y="3732375"/>
          <a:ext cx="28575" cy="95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176</xdr:row>
      <xdr:rowOff>0</xdr:rowOff>
    </xdr:from>
    <xdr:ext cx="161925" cy="171450"/>
    <xdr:sp>
      <xdr:nvSpPr>
        <xdr:cNvPr id="7" name="Shape 7"/>
        <xdr:cNvSpPr txBox="1"/>
      </xdr:nvSpPr>
      <xdr:spPr>
        <a:xfrm>
          <a:off x="5269800" y="3699038"/>
          <a:ext cx="15240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176</xdr:row>
      <xdr:rowOff>0</xdr:rowOff>
    </xdr:from>
    <xdr:ext cx="38100" cy="104775"/>
    <xdr:sp>
      <xdr:nvSpPr>
        <xdr:cNvPr id="8" name="Shape 8"/>
        <xdr:cNvSpPr txBox="1"/>
      </xdr:nvSpPr>
      <xdr:spPr>
        <a:xfrm>
          <a:off x="5331713" y="3727613"/>
          <a:ext cx="28575"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230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230</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229</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288</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287</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287</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346</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345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345</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404</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403</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403</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462</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461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461</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520</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519</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519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578</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577</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577</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636</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635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635</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694</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693</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693</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752</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751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751</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810</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809</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809</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868</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868</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867</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867</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924</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926</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925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925</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0</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56</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56</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56</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55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55</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112</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112</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112</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111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111</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167</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167</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167</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167</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165</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167</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167</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166</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166</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222</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222</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222</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220</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222</xdr:row>
      <xdr:rowOff>0</xdr:rowOff>
    </xdr:from>
    <xdr:ext cx="95250" cy="219075"/>
    <xdr:sp>
      <xdr:nvSpPr>
        <xdr:cNvPr id="5" name="Shape 5"/>
        <xdr:cNvSpPr txBox="1"/>
      </xdr:nvSpPr>
      <xdr:spPr>
        <a:xfrm>
          <a:off x="5303138" y="3675225"/>
          <a:ext cx="85725"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222</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6</xdr:col>
      <xdr:colOff>571500</xdr:colOff>
      <xdr:row>221</xdr:row>
      <xdr:rowOff>0</xdr:rowOff>
    </xdr:from>
    <xdr:ext cx="95250" cy="209550"/>
    <xdr:sp>
      <xdr:nvSpPr>
        <xdr:cNvPr id="11" name="Shape 11"/>
        <xdr:cNvSpPr txBox="1"/>
      </xdr:nvSpPr>
      <xdr:spPr>
        <a:xfrm>
          <a:off x="5303138" y="3679988"/>
          <a:ext cx="85725"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221</xdr:row>
      <xdr:rowOff>0</xdr:rowOff>
    </xdr:from>
    <xdr:ext cx="47625" cy="114300"/>
    <xdr:sp>
      <xdr:nvSpPr>
        <xdr:cNvPr id="6" name="Shape 6"/>
        <xdr:cNvSpPr txBox="1"/>
      </xdr:nvSpPr>
      <xdr:spPr>
        <a:xfrm>
          <a:off x="5326950" y="3727613"/>
          <a:ext cx="38100"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514350</xdr:colOff>
      <xdr:row>32</xdr:row>
      <xdr:rowOff>0</xdr:rowOff>
    </xdr:from>
    <xdr:ext cx="47625" cy="209550"/>
    <xdr:sp>
      <xdr:nvSpPr>
        <xdr:cNvPr id="12" name="Shape 12"/>
        <xdr:cNvSpPr txBox="1"/>
      </xdr:nvSpPr>
      <xdr:spPr>
        <a:xfrm flipH="1">
          <a:off x="5326950" y="3679988"/>
          <a:ext cx="38100" cy="200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xdr:col>
      <xdr:colOff>228600</xdr:colOff>
      <xdr:row>32</xdr:row>
      <xdr:rowOff>0</xdr:rowOff>
    </xdr:from>
    <xdr:ext cx="38100" cy="104775"/>
    <xdr:sp>
      <xdr:nvSpPr>
        <xdr:cNvPr id="8" name="Shape 8"/>
        <xdr:cNvSpPr txBox="1"/>
      </xdr:nvSpPr>
      <xdr:spPr>
        <a:xfrm>
          <a:off x="5331713" y="3727613"/>
          <a:ext cx="28575" cy="104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bonini@amadorgov.org" TargetMode="External"/><Relationship Id="rId2" Type="http://schemas.openxmlformats.org/officeDocument/2006/relationships/hyperlink" Target="mailto:jking@amadorgov.org"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6.0" topLeftCell="A7" activePane="bottomLeft" state="frozen"/>
      <selection activeCell="B8" sqref="B8" pane="bottomLeft"/>
    </sheetView>
  </sheetViews>
  <sheetFormatPr customHeight="1" defaultColWidth="12.63" defaultRowHeight="15.0"/>
  <cols>
    <col customWidth="1" min="1" max="1" width="9.88"/>
    <col customWidth="1" min="2" max="2" width="8.88"/>
    <col customWidth="1" min="3" max="3" width="6.0"/>
    <col customWidth="1" min="4" max="9" width="10.38"/>
    <col customWidth="1" min="10" max="10" width="17.75"/>
    <col customWidth="1" min="11" max="26" width="8.88"/>
  </cols>
  <sheetData>
    <row r="1" ht="1.5" customHeight="1">
      <c r="A1" s="1"/>
      <c r="B1" s="2"/>
      <c r="C1" s="2"/>
      <c r="D1" s="2"/>
      <c r="E1" s="2"/>
      <c r="F1" s="2"/>
      <c r="G1" s="2"/>
      <c r="H1" s="2"/>
      <c r="I1" s="2"/>
      <c r="J1" s="3"/>
    </row>
    <row r="2" ht="7.5" customHeight="1">
      <c r="A2" s="4"/>
      <c r="B2" s="5"/>
      <c r="C2" s="6"/>
      <c r="D2" s="7" t="s">
        <v>0</v>
      </c>
      <c r="E2" s="8"/>
      <c r="F2" s="8"/>
      <c r="G2" s="8"/>
      <c r="H2" s="8"/>
      <c r="I2" s="8"/>
      <c r="J2" s="9"/>
    </row>
    <row r="3" ht="15.0" customHeight="1">
      <c r="A3" s="10"/>
      <c r="B3" s="11"/>
      <c r="C3" s="12"/>
      <c r="D3" s="13"/>
      <c r="E3" s="14"/>
      <c r="F3" s="14"/>
      <c r="G3" s="14"/>
      <c r="H3" s="14"/>
      <c r="I3" s="14"/>
      <c r="J3" s="15"/>
    </row>
    <row r="4" ht="15.0" customHeight="1">
      <c r="A4" s="10"/>
      <c r="B4" s="11"/>
      <c r="C4" s="12"/>
      <c r="D4" s="16" t="s">
        <v>1</v>
      </c>
      <c r="E4" s="17"/>
      <c r="F4" s="17"/>
      <c r="G4" s="17"/>
      <c r="H4" s="17"/>
      <c r="I4" s="17"/>
      <c r="J4" s="18"/>
    </row>
    <row r="5" ht="15.0" customHeight="1">
      <c r="A5" s="10"/>
      <c r="B5" s="11"/>
      <c r="C5" s="12"/>
      <c r="D5" s="16" t="s">
        <v>2</v>
      </c>
      <c r="E5" s="19"/>
      <c r="F5" s="19"/>
      <c r="G5" s="19"/>
      <c r="H5" s="19"/>
      <c r="I5" s="19"/>
      <c r="J5" s="20"/>
    </row>
    <row r="6" ht="7.5" customHeight="1">
      <c r="A6" s="21"/>
      <c r="B6" s="22"/>
      <c r="C6" s="23"/>
      <c r="D6" s="24"/>
      <c r="E6" s="24"/>
      <c r="F6" s="24"/>
      <c r="G6" s="24"/>
      <c r="H6" s="24"/>
      <c r="I6" s="24"/>
      <c r="J6" s="25"/>
    </row>
    <row r="7" ht="6.0" customHeight="1">
      <c r="A7" s="26"/>
      <c r="B7" s="27"/>
      <c r="C7" s="28"/>
      <c r="D7" s="28"/>
      <c r="E7" s="28"/>
      <c r="F7" s="28"/>
      <c r="G7" s="28"/>
      <c r="H7" s="28"/>
      <c r="I7" s="28"/>
      <c r="J7" s="29"/>
    </row>
    <row r="8" ht="12.75" customHeight="1">
      <c r="A8" s="30" t="s">
        <v>3</v>
      </c>
      <c r="J8" s="31"/>
    </row>
    <row r="9" ht="12.75" customHeight="1">
      <c r="A9" s="10"/>
      <c r="J9" s="31"/>
    </row>
    <row r="10" ht="12.75" customHeight="1">
      <c r="A10" s="10"/>
      <c r="J10" s="31"/>
    </row>
    <row r="11" ht="12.75" customHeight="1">
      <c r="A11" s="10"/>
      <c r="J11" s="31"/>
    </row>
    <row r="12" ht="12.75" customHeight="1">
      <c r="A12" s="10"/>
      <c r="J12" s="31"/>
    </row>
    <row r="13" ht="12.75" customHeight="1">
      <c r="A13" s="10"/>
      <c r="J13" s="31"/>
    </row>
    <row r="14" ht="12.75" customHeight="1">
      <c r="A14" s="10"/>
      <c r="J14" s="31"/>
    </row>
    <row r="15" ht="6.0" customHeight="1">
      <c r="A15" s="32"/>
      <c r="J15" s="31"/>
    </row>
    <row r="16" ht="12.75" customHeight="1">
      <c r="A16" s="33" t="s">
        <v>4</v>
      </c>
      <c r="J16" s="31"/>
    </row>
    <row r="17" ht="12.75" customHeight="1">
      <c r="A17" s="10"/>
      <c r="J17" s="31"/>
    </row>
    <row r="18" ht="6.0" customHeight="1">
      <c r="A18" s="33"/>
      <c r="B18" s="34"/>
      <c r="C18" s="34"/>
      <c r="D18" s="34"/>
      <c r="E18" s="34"/>
      <c r="F18" s="34"/>
      <c r="G18" s="34"/>
      <c r="H18" s="34"/>
      <c r="I18" s="34"/>
      <c r="J18" s="35"/>
    </row>
    <row r="19" ht="12.75" customHeight="1">
      <c r="A19" s="32" t="s">
        <v>5</v>
      </c>
      <c r="J19" s="31"/>
    </row>
    <row r="20" ht="30.0" customHeight="1">
      <c r="A20" s="10"/>
      <c r="J20" s="31"/>
    </row>
    <row r="21" ht="4.5" customHeight="1">
      <c r="A21" s="36"/>
      <c r="B21" s="37"/>
      <c r="C21" s="37"/>
      <c r="D21" s="37"/>
      <c r="E21" s="37"/>
      <c r="F21" s="37"/>
      <c r="G21" s="37"/>
      <c r="H21" s="37"/>
      <c r="I21" s="37"/>
      <c r="J21" s="38"/>
    </row>
    <row r="22" ht="15.0" customHeight="1">
      <c r="A22" s="39" t="s">
        <v>6</v>
      </c>
      <c r="B22" s="40"/>
      <c r="C22" s="40"/>
      <c r="D22" s="40"/>
      <c r="E22" s="40"/>
      <c r="F22" s="40"/>
      <c r="G22" s="40"/>
      <c r="H22" s="40"/>
      <c r="I22" s="40"/>
      <c r="J22" s="41"/>
    </row>
    <row r="23" ht="15.0" customHeight="1">
      <c r="A23" s="42" t="s">
        <v>7</v>
      </c>
      <c r="B23" s="43"/>
      <c r="C23" s="43"/>
      <c r="D23" s="43"/>
      <c r="E23" s="44"/>
      <c r="F23" s="42" t="s">
        <v>8</v>
      </c>
      <c r="G23" s="43"/>
      <c r="H23" s="43"/>
      <c r="I23" s="43"/>
      <c r="J23" s="44"/>
    </row>
    <row r="24" ht="18.75" customHeight="1">
      <c r="A24" s="45" t="s">
        <v>9</v>
      </c>
      <c r="B24" s="43"/>
      <c r="C24" s="43"/>
      <c r="D24" s="43"/>
      <c r="E24" s="44"/>
      <c r="F24" s="46">
        <v>45540.0</v>
      </c>
      <c r="G24" s="43"/>
      <c r="H24" s="43"/>
      <c r="I24" s="43"/>
      <c r="J24" s="44"/>
      <c r="K24" s="47"/>
      <c r="L24" s="47"/>
      <c r="M24" s="47"/>
      <c r="N24" s="47"/>
      <c r="O24" s="47"/>
      <c r="P24" s="47"/>
      <c r="Q24" s="47"/>
      <c r="R24" s="47"/>
      <c r="S24" s="47"/>
      <c r="T24" s="47"/>
      <c r="U24" s="47"/>
      <c r="V24" s="47"/>
      <c r="W24" s="47"/>
      <c r="X24" s="47"/>
      <c r="Y24" s="47"/>
      <c r="Z24" s="47"/>
    </row>
    <row r="25" ht="15.0" customHeight="1">
      <c r="A25" s="48" t="s">
        <v>10</v>
      </c>
      <c r="B25" s="49"/>
      <c r="C25" s="49"/>
      <c r="D25" s="49"/>
      <c r="E25" s="49"/>
      <c r="F25" s="49"/>
      <c r="G25" s="49"/>
      <c r="H25" s="49"/>
      <c r="I25" s="49"/>
      <c r="J25" s="50"/>
    </row>
    <row r="26" ht="15.0" customHeight="1">
      <c r="A26" s="51" t="s">
        <v>11</v>
      </c>
      <c r="B26" s="49"/>
      <c r="C26" s="49"/>
      <c r="D26" s="49"/>
      <c r="E26" s="50"/>
      <c r="F26" s="51" t="s">
        <v>12</v>
      </c>
      <c r="G26" s="49"/>
      <c r="H26" s="49"/>
      <c r="I26" s="49"/>
      <c r="J26" s="50"/>
    </row>
    <row r="27" ht="15.0" customHeight="1">
      <c r="A27" s="52" t="s">
        <v>13</v>
      </c>
      <c r="B27" s="53"/>
      <c r="C27" s="53"/>
      <c r="D27" s="53"/>
      <c r="E27" s="54"/>
      <c r="F27" s="52" t="s">
        <v>14</v>
      </c>
      <c r="G27" s="53"/>
      <c r="H27" s="53"/>
      <c r="I27" s="53"/>
      <c r="J27" s="54"/>
      <c r="N27" s="28"/>
    </row>
    <row r="28" ht="15.0" customHeight="1">
      <c r="A28" s="55" t="s">
        <v>15</v>
      </c>
      <c r="B28" s="56"/>
      <c r="C28" s="57"/>
      <c r="D28" s="55" t="s">
        <v>16</v>
      </c>
      <c r="E28" s="56"/>
      <c r="F28" s="56"/>
      <c r="G28" s="56"/>
      <c r="H28" s="56"/>
      <c r="I28" s="56"/>
      <c r="J28" s="57"/>
    </row>
    <row r="29" ht="15.0" customHeight="1">
      <c r="A29" s="52" t="s">
        <v>17</v>
      </c>
      <c r="B29" s="53"/>
      <c r="C29" s="54"/>
      <c r="D29" s="58" t="s">
        <v>18</v>
      </c>
      <c r="E29" s="53"/>
      <c r="F29" s="53"/>
      <c r="G29" s="53"/>
      <c r="H29" s="53"/>
      <c r="I29" s="53"/>
      <c r="J29" s="54"/>
    </row>
    <row r="30" ht="15.0" customHeight="1">
      <c r="A30" s="48" t="s">
        <v>19</v>
      </c>
      <c r="B30" s="49"/>
      <c r="C30" s="49"/>
      <c r="D30" s="49"/>
      <c r="E30" s="49"/>
      <c r="F30" s="49"/>
      <c r="G30" s="49"/>
      <c r="H30" s="49"/>
      <c r="I30" s="49"/>
      <c r="J30" s="50"/>
    </row>
    <row r="31" ht="15.0" customHeight="1">
      <c r="A31" s="51" t="s">
        <v>11</v>
      </c>
      <c r="B31" s="49"/>
      <c r="C31" s="49"/>
      <c r="D31" s="49"/>
      <c r="E31" s="59"/>
      <c r="F31" s="51" t="s">
        <v>12</v>
      </c>
      <c r="G31" s="49"/>
      <c r="H31" s="49"/>
      <c r="I31" s="49"/>
      <c r="J31" s="50"/>
    </row>
    <row r="32" ht="15.0" customHeight="1">
      <c r="A32" s="60" t="s">
        <v>20</v>
      </c>
      <c r="F32" s="60" t="s">
        <v>21</v>
      </c>
      <c r="J32" s="31"/>
    </row>
    <row r="33" ht="15.0" customHeight="1">
      <c r="A33" s="51" t="s">
        <v>15</v>
      </c>
      <c r="B33" s="49"/>
      <c r="C33" s="50"/>
      <c r="D33" s="61" t="s">
        <v>16</v>
      </c>
      <c r="E33" s="49"/>
      <c r="F33" s="49"/>
      <c r="G33" s="49"/>
      <c r="H33" s="49"/>
      <c r="I33" s="49"/>
      <c r="J33" s="50"/>
    </row>
    <row r="34" ht="15.0" customHeight="1">
      <c r="A34" s="52" t="s">
        <v>22</v>
      </c>
      <c r="B34" s="53"/>
      <c r="C34" s="54"/>
      <c r="D34" s="62" t="s">
        <v>23</v>
      </c>
      <c r="E34" s="53"/>
      <c r="F34" s="53"/>
      <c r="G34" s="53"/>
      <c r="H34" s="53"/>
      <c r="I34" s="53"/>
      <c r="J34" s="54"/>
    </row>
    <row r="35" ht="12.75" customHeight="1">
      <c r="A35" s="63" t="s">
        <v>24</v>
      </c>
      <c r="B35" s="56"/>
      <c r="C35" s="56"/>
      <c r="D35" s="56"/>
      <c r="E35" s="56"/>
      <c r="F35" s="56"/>
      <c r="G35" s="56"/>
      <c r="H35" s="56"/>
      <c r="I35" s="56"/>
      <c r="J35" s="57"/>
    </row>
    <row r="36" ht="6.0" customHeight="1">
      <c r="A36" s="64"/>
      <c r="B36" s="65"/>
      <c r="C36" s="65"/>
      <c r="D36" s="66"/>
      <c r="E36" s="66"/>
      <c r="F36" s="66"/>
      <c r="G36" s="66"/>
      <c r="H36" s="66"/>
      <c r="I36" s="66"/>
      <c r="J36" s="67"/>
    </row>
    <row r="37" ht="12.75" customHeight="1">
      <c r="A37" s="32" t="s">
        <v>25</v>
      </c>
      <c r="J37" s="31"/>
    </row>
    <row r="38" ht="12.75" customHeight="1">
      <c r="A38" s="10"/>
      <c r="J38" s="31"/>
    </row>
    <row r="39" ht="12.75" customHeight="1">
      <c r="A39" s="10"/>
      <c r="J39" s="31"/>
    </row>
    <row r="40" ht="6.0" customHeight="1">
      <c r="A40" s="10"/>
      <c r="J40" s="31"/>
    </row>
    <row r="41" ht="21.75" customHeight="1">
      <c r="A41" s="10"/>
      <c r="J41" s="31"/>
      <c r="L41" s="68"/>
    </row>
    <row r="42" ht="12.0" customHeight="1">
      <c r="A42" s="10"/>
      <c r="J42" s="31"/>
    </row>
    <row r="43" ht="12.75" customHeight="1">
      <c r="A43" s="10"/>
      <c r="J43" s="31"/>
    </row>
    <row r="44" ht="12.75" customHeight="1">
      <c r="A44" s="10"/>
      <c r="J44" s="31"/>
    </row>
    <row r="45" ht="6.0" customHeight="1">
      <c r="A45" s="10"/>
      <c r="J45" s="31"/>
    </row>
    <row r="46" ht="12.75" customHeight="1">
      <c r="A46" s="10"/>
      <c r="J46" s="31"/>
    </row>
    <row r="47" ht="12.75" customHeight="1">
      <c r="A47" s="10"/>
      <c r="J47" s="31"/>
    </row>
    <row r="48" ht="12.75" customHeight="1">
      <c r="A48" s="10"/>
      <c r="J48" s="31"/>
      <c r="L48" s="68"/>
    </row>
    <row r="49" ht="12.0" customHeight="1">
      <c r="A49" s="10"/>
      <c r="J49" s="31"/>
    </row>
    <row r="50" ht="55.5" customHeight="1">
      <c r="A50" s="10"/>
      <c r="J50" s="31"/>
      <c r="K50" s="69"/>
      <c r="U50" s="69"/>
      <c r="V50" s="69"/>
      <c r="W50" s="69"/>
      <c r="X50" s="69"/>
      <c r="Y50" s="69"/>
      <c r="Z50" s="69"/>
    </row>
    <row r="51" ht="14.25" customHeight="1">
      <c r="A51" s="70"/>
      <c r="B51" s="71"/>
      <c r="C51" s="71"/>
      <c r="D51" s="71"/>
      <c r="E51" s="71"/>
      <c r="F51" s="71"/>
      <c r="G51" s="71"/>
      <c r="H51" s="71"/>
      <c r="I51" s="71"/>
      <c r="J51" s="72"/>
    </row>
    <row r="52" ht="12.75" customHeight="1">
      <c r="A52" s="68"/>
      <c r="B52" s="68"/>
      <c r="C52" s="68"/>
      <c r="D52" s="68"/>
      <c r="E52" s="68"/>
      <c r="F52" s="68"/>
      <c r="G52" s="68"/>
      <c r="H52" s="68"/>
      <c r="I52" s="68"/>
      <c r="J52" s="68"/>
    </row>
    <row r="53" ht="12.75" customHeight="1">
      <c r="A53" s="68"/>
      <c r="B53" s="68"/>
      <c r="C53" s="68"/>
      <c r="D53" s="68"/>
      <c r="E53" s="68"/>
      <c r="F53" s="68"/>
      <c r="G53" s="68"/>
      <c r="H53" s="68"/>
      <c r="I53" s="68"/>
      <c r="J53" s="68"/>
    </row>
    <row r="54" ht="12.75" customHeight="1"/>
    <row r="55" ht="12.75" customHeight="1"/>
    <row r="56" ht="12.75" customHeight="1"/>
    <row r="57" ht="12.75" customHeight="1"/>
    <row r="58" ht="12.75" customHeight="1"/>
    <row r="59" ht="12.75" customHeight="1"/>
    <row r="60" ht="12.75" customHeight="1">
      <c r="H60" s="73"/>
    </row>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dataValidation type="list" allowBlank="1" showInputMessage="1" showErrorMessage="1" prompt="Select your county from the drop down list." sqref="A24">
      <formula1>Counties</formula1>
    </dataValidation>
    <dataValidation type="custom" allowBlank="1" showErrorMessage="1" sqref="A32 F32">
      <formula1>AND(GTE(LEN(A32),MIN((1),(30))),LTE(LEN(A32),MAX((1),(30))))</formula1>
    </dataValidation>
    <dataValidation type="custom" allowBlank="1" showInputMessage="1" showErrorMessage="1" prompt="Include area code." sqref="A29 A34">
      <formula1>AND(GTE(LEN(A29),MIN((1),(40))),LTE(LEN(A29),MAX((1),(40))))</formula1>
    </dataValidation>
  </dataValidations>
  <hyperlinks>
    <hyperlink r:id="rId1" ref="D29"/>
    <hyperlink r:id="rId2" ref="D34"/>
  </hyperlinks>
  <printOptions horizontalCentered="1"/>
  <pageMargins bottom="0.5" footer="0.0" header="0.0" left="0.5" right="0.5" top="0.5"/>
  <pageSetup orientation="portrait"/>
  <headerFooter>
    <oddFooter>&amp;L&amp;F</oddFooter>
  </headerFooter>
  <rowBreaks count="1" manualBreakCount="1">
    <brk id="53" man="1"/>
  </rowBrea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4.0" topLeftCell="A5" activePane="bottomLeft" state="frozen"/>
      <selection activeCell="B6" sqref="B6" pane="bottomLeft"/>
    </sheetView>
  </sheetViews>
  <sheetFormatPr customHeight="1" defaultColWidth="12.63" defaultRowHeight="15.0"/>
  <cols>
    <col customWidth="1" min="1" max="1" width="3.63"/>
    <col customWidth="1" min="2" max="4" width="8.88"/>
    <col customWidth="1" min="5" max="5" width="6.5"/>
    <col customWidth="1" min="6" max="6" width="6.38"/>
    <col customWidth="1" min="7" max="14" width="5.63"/>
    <col customWidth="1" min="15" max="15" width="6.63"/>
    <col customWidth="1" min="16" max="26" width="8.88"/>
  </cols>
  <sheetData>
    <row r="1" ht="15.75" customHeight="1">
      <c r="A1" s="74" t="s">
        <v>26</v>
      </c>
      <c r="B1" s="43"/>
      <c r="C1" s="43"/>
      <c r="D1" s="43"/>
      <c r="E1" s="43"/>
      <c r="F1" s="43"/>
      <c r="G1" s="43"/>
      <c r="H1" s="43"/>
      <c r="I1" s="43"/>
      <c r="J1" s="75"/>
      <c r="K1" s="76" t="str">
        <f>'CONTACT INFORMATION'!$A$24</f>
        <v>Amador</v>
      </c>
      <c r="L1" s="43"/>
      <c r="M1" s="43"/>
      <c r="N1" s="43"/>
      <c r="O1" s="44"/>
      <c r="P1" s="77"/>
      <c r="Q1" s="77"/>
      <c r="R1" s="77"/>
      <c r="S1" s="77"/>
      <c r="T1" s="77"/>
      <c r="U1" s="77"/>
      <c r="V1" s="77"/>
      <c r="W1" s="77"/>
      <c r="X1" s="77"/>
      <c r="Y1" s="77"/>
      <c r="Z1" s="77"/>
    </row>
    <row r="2" ht="8.25" customHeight="1">
      <c r="A2" s="78"/>
      <c r="B2" s="78"/>
      <c r="C2" s="78"/>
      <c r="D2" s="78"/>
      <c r="E2" s="78"/>
      <c r="F2" s="78"/>
      <c r="G2" s="78"/>
      <c r="H2" s="78"/>
      <c r="I2" s="78"/>
      <c r="J2" s="78"/>
      <c r="K2" s="79"/>
      <c r="L2" s="79"/>
      <c r="M2" s="79"/>
      <c r="N2" s="79"/>
      <c r="O2" s="79"/>
    </row>
    <row r="3" ht="15.75" customHeight="1">
      <c r="A3" s="80" t="s">
        <v>27</v>
      </c>
      <c r="B3" s="49"/>
      <c r="C3" s="49"/>
      <c r="D3" s="49"/>
      <c r="E3" s="49"/>
      <c r="F3" s="49"/>
      <c r="G3" s="49"/>
      <c r="H3" s="49"/>
      <c r="I3" s="49"/>
      <c r="J3" s="49"/>
      <c r="K3" s="49"/>
      <c r="L3" s="49"/>
      <c r="M3" s="49"/>
      <c r="N3" s="49"/>
      <c r="O3" s="50"/>
    </row>
    <row r="4" ht="59.25" customHeight="1">
      <c r="A4" s="81" t="s">
        <v>28</v>
      </c>
      <c r="B4" s="56"/>
      <c r="C4" s="56"/>
      <c r="D4" s="56"/>
      <c r="E4" s="56"/>
      <c r="F4" s="56"/>
      <c r="G4" s="56"/>
      <c r="H4" s="56"/>
      <c r="I4" s="56"/>
      <c r="J4" s="56"/>
      <c r="K4" s="56"/>
      <c r="L4" s="56"/>
      <c r="M4" s="56"/>
      <c r="N4" s="56"/>
      <c r="O4" s="57"/>
      <c r="P4" s="82"/>
      <c r="Q4" s="82"/>
      <c r="R4" s="82"/>
      <c r="S4" s="82"/>
      <c r="T4" s="82"/>
      <c r="U4" s="82"/>
      <c r="V4" s="82"/>
      <c r="W4" s="82"/>
      <c r="X4" s="82"/>
      <c r="Y4" s="82"/>
      <c r="Z4" s="82"/>
    </row>
    <row r="5" ht="12.75" customHeight="1">
      <c r="A5" s="83"/>
      <c r="B5" s="84"/>
      <c r="C5" s="84"/>
      <c r="D5" s="84"/>
      <c r="E5" s="84"/>
      <c r="F5" s="84"/>
      <c r="G5" s="84"/>
      <c r="H5" s="84"/>
      <c r="I5" s="84"/>
      <c r="J5" s="84"/>
      <c r="K5" s="84"/>
      <c r="L5" s="84"/>
      <c r="M5" s="84"/>
      <c r="N5" s="84"/>
      <c r="O5" s="85"/>
      <c r="P5" s="82"/>
      <c r="Q5" s="82"/>
      <c r="R5" s="82"/>
      <c r="S5" s="82"/>
      <c r="T5" s="82"/>
      <c r="U5" s="82"/>
      <c r="V5" s="82"/>
      <c r="W5" s="82"/>
      <c r="X5" s="82"/>
      <c r="Y5" s="82"/>
      <c r="Z5" s="82"/>
    </row>
    <row r="6" ht="12.75" customHeight="1">
      <c r="A6" s="83"/>
      <c r="B6" s="84"/>
      <c r="C6" s="86"/>
      <c r="M6" s="84"/>
      <c r="N6" s="84"/>
      <c r="O6" s="85"/>
      <c r="P6" s="82"/>
      <c r="Q6" s="82"/>
      <c r="R6" s="82"/>
      <c r="S6" s="82"/>
      <c r="T6" s="82"/>
      <c r="U6" s="82"/>
      <c r="V6" s="82"/>
      <c r="W6" s="82"/>
      <c r="X6" s="82"/>
      <c r="Y6" s="82"/>
      <c r="Z6" s="82"/>
    </row>
    <row r="7" ht="17.25" customHeight="1">
      <c r="A7" s="87"/>
      <c r="D7" s="88" t="s">
        <v>29</v>
      </c>
      <c r="M7" s="89"/>
      <c r="O7" s="90"/>
    </row>
    <row r="8" ht="12.75" customHeight="1">
      <c r="A8" s="91"/>
      <c r="B8" s="92"/>
      <c r="C8" s="69"/>
      <c r="D8" s="69"/>
      <c r="E8" s="93" t="s">
        <v>30</v>
      </c>
      <c r="F8" s="43"/>
      <c r="G8" s="43"/>
      <c r="H8" s="44"/>
      <c r="I8" s="94">
        <v>17.0</v>
      </c>
      <c r="J8" s="44"/>
      <c r="K8" s="95"/>
      <c r="L8" s="95"/>
      <c r="M8" s="95"/>
      <c r="N8" s="96"/>
      <c r="O8" s="97"/>
      <c r="P8" s="69"/>
      <c r="Q8" s="69"/>
      <c r="R8" s="69"/>
      <c r="S8" s="69"/>
      <c r="T8" s="69"/>
      <c r="U8" s="69"/>
      <c r="V8" s="69"/>
      <c r="W8" s="69"/>
      <c r="X8" s="69"/>
      <c r="Y8" s="69"/>
      <c r="Z8" s="69"/>
    </row>
    <row r="9" ht="12.75" customHeight="1">
      <c r="A9" s="91"/>
      <c r="B9" s="92"/>
      <c r="C9" s="69"/>
      <c r="D9" s="69"/>
      <c r="E9" s="98" t="s">
        <v>31</v>
      </c>
      <c r="F9" s="43"/>
      <c r="G9" s="43"/>
      <c r="H9" s="44"/>
      <c r="I9" s="99">
        <v>0.0</v>
      </c>
      <c r="J9" s="44"/>
      <c r="K9" s="95"/>
      <c r="L9" s="95"/>
      <c r="M9" s="95"/>
      <c r="N9" s="96"/>
      <c r="O9" s="97"/>
      <c r="P9" s="69"/>
      <c r="Q9" s="69"/>
      <c r="R9" s="69"/>
      <c r="S9" s="69"/>
      <c r="T9" s="69"/>
      <c r="U9" s="69"/>
      <c r="V9" s="69"/>
      <c r="W9" s="69"/>
      <c r="X9" s="69"/>
      <c r="Y9" s="69"/>
      <c r="Z9" s="69"/>
    </row>
    <row r="10" ht="12.75" customHeight="1">
      <c r="A10" s="91"/>
      <c r="B10" s="92"/>
      <c r="C10" s="69"/>
      <c r="D10" s="69"/>
      <c r="E10" s="93" t="s">
        <v>32</v>
      </c>
      <c r="F10" s="43"/>
      <c r="G10" s="43"/>
      <c r="H10" s="44"/>
      <c r="I10" s="94">
        <v>19.0</v>
      </c>
      <c r="J10" s="44"/>
      <c r="K10" s="95"/>
      <c r="L10" s="95"/>
      <c r="M10" s="95"/>
      <c r="N10" s="96"/>
      <c r="O10" s="97"/>
      <c r="P10" s="69"/>
      <c r="Q10" s="69"/>
      <c r="R10" s="69"/>
      <c r="S10" s="69"/>
      <c r="T10" s="69"/>
      <c r="U10" s="69"/>
      <c r="V10" s="69"/>
      <c r="W10" s="69"/>
      <c r="X10" s="69"/>
      <c r="Y10" s="69"/>
      <c r="Z10" s="69"/>
    </row>
    <row r="11" ht="12.75" customHeight="1">
      <c r="A11" s="91"/>
      <c r="B11" s="92"/>
      <c r="C11" s="69"/>
      <c r="D11" s="69"/>
      <c r="E11" s="100"/>
      <c r="F11" s="100"/>
      <c r="G11" s="100"/>
      <c r="H11" s="100"/>
      <c r="I11" s="101"/>
      <c r="J11" s="101"/>
      <c r="K11" s="95"/>
      <c r="L11" s="95"/>
      <c r="M11" s="95"/>
      <c r="N11" s="96"/>
      <c r="O11" s="97"/>
      <c r="P11" s="69"/>
      <c r="Q11" s="69"/>
      <c r="R11" s="69"/>
      <c r="S11" s="69"/>
      <c r="T11" s="69"/>
      <c r="U11" s="69"/>
      <c r="V11" s="69"/>
      <c r="W11" s="69"/>
      <c r="X11" s="69"/>
      <c r="Y11" s="69"/>
      <c r="Z11" s="69"/>
    </row>
    <row r="12" ht="12.75" customHeight="1">
      <c r="A12" s="91"/>
      <c r="E12" s="95"/>
      <c r="F12" s="95"/>
      <c r="G12" s="95"/>
      <c r="H12" s="95"/>
      <c r="I12" s="96"/>
      <c r="J12" s="96"/>
      <c r="K12" s="96"/>
      <c r="L12" s="96"/>
      <c r="M12" s="96"/>
      <c r="N12" s="96"/>
      <c r="O12" s="97"/>
    </row>
    <row r="13" ht="17.25" customHeight="1">
      <c r="A13" s="102"/>
      <c r="B13" s="82"/>
      <c r="C13" s="82"/>
      <c r="D13" s="88" t="s">
        <v>33</v>
      </c>
      <c r="M13" s="103"/>
      <c r="N13" s="103"/>
      <c r="O13" s="104"/>
      <c r="P13" s="82"/>
      <c r="Q13" s="82"/>
      <c r="R13" s="82"/>
      <c r="S13" s="82"/>
      <c r="T13" s="82"/>
      <c r="U13" s="82"/>
      <c r="V13" s="82"/>
      <c r="W13" s="82"/>
      <c r="X13" s="82"/>
      <c r="Y13" s="82"/>
      <c r="Z13" s="82"/>
    </row>
    <row r="14" ht="12.75" customHeight="1">
      <c r="A14" s="91"/>
      <c r="E14" s="93" t="s">
        <v>34</v>
      </c>
      <c r="F14" s="43"/>
      <c r="G14" s="43"/>
      <c r="H14" s="44"/>
      <c r="I14" s="94">
        <v>22.0</v>
      </c>
      <c r="J14" s="44"/>
      <c r="K14" s="96"/>
      <c r="L14" s="96"/>
      <c r="M14" s="96"/>
      <c r="N14" s="96"/>
      <c r="O14" s="97"/>
    </row>
    <row r="15" ht="12.75" customHeight="1">
      <c r="A15" s="91"/>
      <c r="E15" s="98" t="s">
        <v>35</v>
      </c>
      <c r="F15" s="43"/>
      <c r="G15" s="43"/>
      <c r="H15" s="44"/>
      <c r="I15" s="99">
        <v>12.0</v>
      </c>
      <c r="J15" s="44"/>
      <c r="K15" s="96"/>
      <c r="L15" s="96"/>
      <c r="M15" s="96"/>
      <c r="N15" s="96"/>
      <c r="O15" s="97"/>
    </row>
    <row r="16" ht="12.75" customHeight="1">
      <c r="A16" s="91"/>
      <c r="E16" s="105" t="s">
        <v>36</v>
      </c>
      <c r="F16" s="43"/>
      <c r="G16" s="43"/>
      <c r="H16" s="44"/>
      <c r="I16" s="106">
        <f>SUM(I14:J15)</f>
        <v>34</v>
      </c>
      <c r="J16" s="44"/>
      <c r="K16" s="96"/>
      <c r="L16" s="96"/>
      <c r="M16" s="96"/>
      <c r="N16" s="96"/>
      <c r="O16" s="97"/>
    </row>
    <row r="17" ht="12.75" customHeight="1">
      <c r="A17" s="91"/>
      <c r="E17" s="96"/>
      <c r="F17" s="96"/>
      <c r="G17" s="96"/>
      <c r="H17" s="96"/>
      <c r="I17" s="96"/>
      <c r="J17" s="96"/>
      <c r="K17" s="96"/>
      <c r="L17" s="96"/>
      <c r="M17" s="96"/>
      <c r="N17" s="96"/>
      <c r="O17" s="97"/>
    </row>
    <row r="18" ht="12.75" customHeight="1">
      <c r="A18" s="91"/>
      <c r="E18" s="96"/>
      <c r="F18" s="96"/>
      <c r="G18" s="96"/>
      <c r="H18" s="96"/>
      <c r="I18" s="96"/>
      <c r="J18" s="96"/>
      <c r="K18" s="96"/>
      <c r="L18" s="96"/>
      <c r="M18" s="96"/>
      <c r="N18" s="96"/>
      <c r="O18" s="97"/>
    </row>
    <row r="19" ht="17.25" customHeight="1">
      <c r="A19" s="102"/>
      <c r="B19" s="82"/>
      <c r="C19" s="82"/>
      <c r="D19" s="88" t="s">
        <v>37</v>
      </c>
      <c r="E19" s="88"/>
      <c r="F19" s="88"/>
      <c r="G19" s="88"/>
      <c r="H19" s="88"/>
      <c r="I19" s="88"/>
      <c r="J19" s="88"/>
      <c r="K19" s="107"/>
      <c r="L19" s="103"/>
      <c r="M19" s="103"/>
      <c r="N19" s="103"/>
      <c r="O19" s="104"/>
      <c r="P19" s="82"/>
      <c r="Q19" s="82"/>
      <c r="R19" s="82"/>
      <c r="S19" s="82"/>
      <c r="T19" s="82"/>
      <c r="U19" s="82"/>
      <c r="V19" s="82"/>
      <c r="W19" s="82"/>
      <c r="X19" s="82"/>
      <c r="Y19" s="82"/>
      <c r="Z19" s="82"/>
    </row>
    <row r="20" ht="12.75" customHeight="1">
      <c r="A20" s="91"/>
      <c r="E20" s="93" t="s">
        <v>38</v>
      </c>
      <c r="F20" s="43"/>
      <c r="G20" s="43"/>
      <c r="H20" s="44"/>
      <c r="I20" s="94">
        <v>5.0</v>
      </c>
      <c r="J20" s="44"/>
      <c r="K20" s="96"/>
      <c r="L20" s="96"/>
      <c r="M20" s="96"/>
      <c r="N20" s="96"/>
      <c r="O20" s="97"/>
    </row>
    <row r="21" ht="12.75" customHeight="1">
      <c r="A21" s="91"/>
      <c r="E21" s="98" t="s">
        <v>39</v>
      </c>
      <c r="F21" s="43"/>
      <c r="G21" s="43"/>
      <c r="H21" s="44"/>
      <c r="I21" s="108">
        <v>26.0</v>
      </c>
      <c r="J21" s="44"/>
      <c r="K21" s="96"/>
      <c r="L21" s="96"/>
      <c r="M21" s="96"/>
      <c r="N21" s="96"/>
      <c r="O21" s="97"/>
    </row>
    <row r="22" ht="12.75" customHeight="1">
      <c r="A22" s="91"/>
      <c r="E22" s="93" t="s">
        <v>40</v>
      </c>
      <c r="F22" s="43"/>
      <c r="G22" s="43"/>
      <c r="H22" s="44"/>
      <c r="I22" s="94">
        <v>1.0</v>
      </c>
      <c r="J22" s="44"/>
      <c r="K22" s="96"/>
      <c r="L22" s="96"/>
      <c r="M22" s="96"/>
      <c r="N22" s="96"/>
      <c r="O22" s="97"/>
    </row>
    <row r="23" ht="12.75" customHeight="1">
      <c r="A23" s="91"/>
      <c r="E23" s="98" t="s">
        <v>41</v>
      </c>
      <c r="F23" s="43"/>
      <c r="G23" s="43"/>
      <c r="H23" s="44"/>
      <c r="I23" s="99">
        <v>0.0</v>
      </c>
      <c r="J23" s="44"/>
      <c r="K23" s="96"/>
      <c r="L23" s="96"/>
      <c r="M23" s="96"/>
      <c r="N23" s="96"/>
      <c r="O23" s="97"/>
    </row>
    <row r="24" ht="12.75" customHeight="1">
      <c r="A24" s="91"/>
      <c r="E24" s="93" t="s">
        <v>42</v>
      </c>
      <c r="F24" s="43"/>
      <c r="G24" s="43"/>
      <c r="H24" s="44"/>
      <c r="I24" s="94">
        <v>1.0</v>
      </c>
      <c r="J24" s="44"/>
      <c r="K24" s="96"/>
      <c r="L24" s="96"/>
      <c r="M24" s="96"/>
      <c r="N24" s="96"/>
      <c r="O24" s="97"/>
    </row>
    <row r="25" ht="12.75" customHeight="1">
      <c r="A25" s="91"/>
      <c r="E25" s="98" t="s">
        <v>43</v>
      </c>
      <c r="F25" s="43"/>
      <c r="G25" s="43"/>
      <c r="H25" s="44"/>
      <c r="I25" s="99">
        <v>1.0</v>
      </c>
      <c r="J25" s="44"/>
      <c r="K25" s="96"/>
      <c r="L25" s="96"/>
      <c r="M25" s="96"/>
      <c r="N25" s="96"/>
      <c r="O25" s="97"/>
    </row>
    <row r="26" ht="12.75" customHeight="1">
      <c r="A26" s="91"/>
      <c r="E26" s="93" t="s">
        <v>44</v>
      </c>
      <c r="F26" s="43"/>
      <c r="G26" s="43"/>
      <c r="H26" s="44"/>
      <c r="I26" s="94">
        <v>0.0</v>
      </c>
      <c r="J26" s="44"/>
      <c r="K26" s="96"/>
      <c r="L26" s="96"/>
      <c r="M26" s="96"/>
      <c r="N26" s="96"/>
      <c r="O26" s="97"/>
    </row>
    <row r="27" ht="12.75" customHeight="1">
      <c r="A27" s="91"/>
      <c r="E27" s="105" t="s">
        <v>36</v>
      </c>
      <c r="F27" s="43"/>
      <c r="G27" s="43"/>
      <c r="H27" s="44"/>
      <c r="I27" s="106">
        <f>SUM(I20:J26)</f>
        <v>34</v>
      </c>
      <c r="J27" s="44"/>
      <c r="K27" s="109"/>
      <c r="L27" s="109"/>
      <c r="M27" s="109"/>
      <c r="N27" s="109"/>
      <c r="O27" s="110"/>
    </row>
    <row r="28" ht="12.75" customHeight="1">
      <c r="A28" s="91"/>
      <c r="B28" s="111"/>
      <c r="F28" s="109"/>
      <c r="G28" s="109"/>
      <c r="H28" s="109"/>
      <c r="I28" s="109"/>
      <c r="J28" s="109"/>
      <c r="K28" s="109"/>
      <c r="L28" s="109"/>
      <c r="M28" s="109"/>
      <c r="N28" s="109"/>
      <c r="O28" s="110"/>
    </row>
    <row r="29" ht="12.75" customHeight="1">
      <c r="A29" s="112"/>
      <c r="B29" s="113"/>
      <c r="C29" s="114"/>
      <c r="D29" s="114"/>
      <c r="E29" s="114"/>
      <c r="F29" s="115"/>
      <c r="G29" s="115"/>
      <c r="H29" s="115"/>
      <c r="I29" s="115"/>
      <c r="J29" s="115"/>
      <c r="K29" s="115"/>
      <c r="L29" s="115"/>
      <c r="M29" s="115"/>
      <c r="N29" s="115"/>
      <c r="O29" s="116"/>
    </row>
    <row r="30" ht="14.25" customHeight="1"/>
    <row r="31" ht="13.5" customHeight="1">
      <c r="A31" s="117" t="s">
        <v>45</v>
      </c>
    </row>
    <row r="32" ht="13.5" customHeight="1">
      <c r="A32" s="118"/>
      <c r="B32" s="8"/>
      <c r="C32" s="8"/>
      <c r="D32" s="8"/>
      <c r="E32" s="8"/>
      <c r="F32" s="8"/>
      <c r="G32" s="8"/>
      <c r="H32" s="8"/>
      <c r="I32" s="8"/>
      <c r="J32" s="8"/>
      <c r="K32" s="8"/>
      <c r="L32" s="8"/>
      <c r="M32" s="8"/>
      <c r="N32" s="8"/>
      <c r="O32" s="9"/>
    </row>
    <row r="33" ht="13.5" customHeight="1">
      <c r="A33" s="10"/>
      <c r="O33" s="31"/>
    </row>
    <row r="34" ht="13.5" customHeight="1">
      <c r="A34" s="10"/>
      <c r="O34" s="31"/>
    </row>
    <row r="35" ht="13.5" customHeight="1">
      <c r="A35" s="10"/>
      <c r="O35" s="31"/>
    </row>
    <row r="36" ht="13.5" customHeight="1">
      <c r="A36" s="10"/>
      <c r="O36" s="31"/>
    </row>
    <row r="37" ht="13.5" customHeight="1">
      <c r="A37" s="10"/>
      <c r="O37" s="31"/>
    </row>
    <row r="38" ht="13.5" customHeight="1">
      <c r="A38" s="10"/>
      <c r="O38" s="31"/>
    </row>
    <row r="39" ht="13.5" customHeight="1">
      <c r="A39" s="10"/>
      <c r="O39" s="31"/>
    </row>
    <row r="40" ht="13.5" customHeight="1">
      <c r="A40" s="10"/>
      <c r="O40" s="31"/>
    </row>
    <row r="41" ht="13.5" customHeight="1">
      <c r="A41" s="10"/>
      <c r="O41" s="31"/>
    </row>
    <row r="42" ht="13.5" customHeight="1">
      <c r="A42" s="10"/>
      <c r="O42" s="31"/>
    </row>
    <row r="43" ht="13.5" customHeight="1">
      <c r="A43" s="21"/>
      <c r="B43" s="53"/>
      <c r="C43" s="53"/>
      <c r="D43" s="53"/>
      <c r="E43" s="53"/>
      <c r="F43" s="53"/>
      <c r="G43" s="53"/>
      <c r="H43" s="53"/>
      <c r="I43" s="53"/>
      <c r="J43" s="53"/>
      <c r="K43" s="53"/>
      <c r="L43" s="53"/>
      <c r="M43" s="53"/>
      <c r="N43" s="53"/>
      <c r="O43" s="54"/>
    </row>
    <row r="44" ht="13.5" customHeight="1">
      <c r="A44" s="119"/>
      <c r="B44" s="119"/>
      <c r="C44" s="119"/>
      <c r="D44" s="119"/>
      <c r="E44" s="119"/>
      <c r="F44" s="120"/>
      <c r="G44" s="121"/>
      <c r="K44" s="122"/>
      <c r="L44" s="123"/>
      <c r="M44" s="123"/>
      <c r="N44" s="124"/>
      <c r="P44" s="123"/>
      <c r="Q44" s="123"/>
      <c r="R44" s="123"/>
      <c r="S44" s="123"/>
      <c r="T44" s="123"/>
      <c r="U44" s="123"/>
      <c r="V44" s="123"/>
      <c r="W44" s="123"/>
      <c r="X44" s="123"/>
      <c r="Y44" s="123"/>
      <c r="Z44" s="123"/>
    </row>
    <row r="45" ht="12.75" customHeight="1">
      <c r="A45" s="125"/>
    </row>
    <row r="46" ht="12.75" customHeight="1"/>
    <row r="47" ht="12.75" customHeight="1"/>
    <row r="48" ht="12.75" customHeight="1"/>
    <row r="49" ht="12.75" customHeight="1"/>
    <row r="50" ht="12.75" customHeight="1">
      <c r="A50" s="119"/>
      <c r="G50" s="121"/>
      <c r="H50" s="121"/>
      <c r="I50" s="122"/>
      <c r="J50" s="122"/>
      <c r="K50" s="122"/>
      <c r="L50" s="123"/>
      <c r="M50" s="123"/>
      <c r="N50" s="124"/>
      <c r="P50" s="123"/>
      <c r="Q50" s="123"/>
      <c r="R50" s="123"/>
      <c r="S50" s="123"/>
      <c r="T50" s="123"/>
      <c r="U50" s="123"/>
      <c r="V50" s="123"/>
      <c r="W50" s="123"/>
      <c r="X50" s="123"/>
      <c r="Y50" s="123"/>
      <c r="Z50" s="123"/>
    </row>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c r="B68" s="126"/>
    </row>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bottom="0.75" footer="0.0" header="0.0" left="0.2" right="0.2" top="0.75"/>
  <pageSetup orientation="portrait"/>
  <headerFooter>
    <oddFooter>&amp;L&amp;F</oddFooter>
  </headerFooter>
  <rowBreaks count="1" manualBreakCount="1">
    <brk id="50"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4.0" topLeftCell="A5" activePane="bottomLeft" state="frozen"/>
      <selection activeCell="B6" sqref="B6" pane="bottomLeft"/>
    </sheetView>
  </sheetViews>
  <sheetFormatPr customHeight="1" defaultColWidth="12.63" defaultRowHeight="15.0"/>
  <cols>
    <col customWidth="1" min="1" max="1" width="3.63"/>
    <col customWidth="1" min="2" max="4" width="8.88"/>
    <col customWidth="1" min="5" max="5" width="6.63"/>
    <col customWidth="1" min="6" max="6" width="6.5"/>
    <col customWidth="1" min="7" max="14" width="5.63"/>
    <col customWidth="1" min="15" max="15" width="6.63"/>
    <col customWidth="1" min="16" max="26" width="8.88"/>
  </cols>
  <sheetData>
    <row r="1" ht="15.75" customHeight="1">
      <c r="A1" s="127" t="s">
        <v>26</v>
      </c>
      <c r="B1" s="43"/>
      <c r="C1" s="43"/>
      <c r="D1" s="43"/>
      <c r="E1" s="43"/>
      <c r="F1" s="43"/>
      <c r="G1" s="43"/>
      <c r="H1" s="43"/>
      <c r="I1" s="43"/>
      <c r="J1" s="75"/>
      <c r="K1" s="128" t="str">
        <f>'CONTACT INFORMATION'!$A$24</f>
        <v>Amador</v>
      </c>
      <c r="L1" s="43"/>
      <c r="M1" s="43"/>
      <c r="N1" s="43"/>
      <c r="O1" s="44"/>
    </row>
    <row r="2" ht="7.5" customHeight="1">
      <c r="A2" s="129"/>
      <c r="B2" s="129"/>
      <c r="C2" s="129"/>
      <c r="D2" s="129"/>
      <c r="E2" s="129"/>
      <c r="F2" s="129"/>
      <c r="G2" s="129"/>
      <c r="H2" s="129"/>
      <c r="I2" s="129"/>
      <c r="J2" s="129"/>
      <c r="K2" s="129"/>
      <c r="L2" s="129"/>
      <c r="M2" s="129"/>
      <c r="N2" s="129"/>
      <c r="O2" s="129"/>
    </row>
    <row r="3" ht="24.0" customHeight="1">
      <c r="A3" s="130" t="s">
        <v>46</v>
      </c>
      <c r="B3" s="49"/>
      <c r="C3" s="49"/>
      <c r="D3" s="49"/>
      <c r="E3" s="49"/>
      <c r="F3" s="49"/>
      <c r="G3" s="49"/>
      <c r="H3" s="49"/>
      <c r="I3" s="49"/>
      <c r="J3" s="49"/>
      <c r="K3" s="49"/>
      <c r="L3" s="49"/>
      <c r="M3" s="49"/>
      <c r="N3" s="49"/>
      <c r="O3" s="50"/>
    </row>
    <row r="4" ht="44.25" customHeight="1">
      <c r="A4" s="131" t="s">
        <v>47</v>
      </c>
      <c r="B4" s="56"/>
      <c r="C4" s="56"/>
      <c r="D4" s="56"/>
      <c r="E4" s="56"/>
      <c r="F4" s="56"/>
      <c r="G4" s="56"/>
      <c r="H4" s="56"/>
      <c r="I4" s="56"/>
      <c r="J4" s="56"/>
      <c r="K4" s="56"/>
      <c r="L4" s="56"/>
      <c r="M4" s="56"/>
      <c r="N4" s="56"/>
      <c r="O4" s="57"/>
      <c r="P4" s="82"/>
      <c r="Q4" s="82"/>
      <c r="R4" s="82"/>
      <c r="S4" s="82"/>
      <c r="T4" s="82"/>
      <c r="U4" s="82"/>
      <c r="V4" s="82"/>
      <c r="W4" s="82"/>
      <c r="X4" s="82"/>
      <c r="Y4" s="82"/>
      <c r="Z4" s="82"/>
    </row>
    <row r="5" ht="7.5" customHeight="1">
      <c r="A5" s="83"/>
      <c r="B5" s="84"/>
      <c r="C5" s="84"/>
      <c r="D5" s="84"/>
      <c r="E5" s="84"/>
      <c r="F5" s="84"/>
      <c r="G5" s="84"/>
      <c r="H5" s="84"/>
      <c r="I5" s="84"/>
      <c r="J5" s="84"/>
      <c r="K5" s="84"/>
      <c r="L5" s="84"/>
      <c r="M5" s="84"/>
      <c r="N5" s="84"/>
      <c r="O5" s="85"/>
      <c r="P5" s="82"/>
      <c r="Q5" s="82"/>
      <c r="R5" s="82"/>
      <c r="S5" s="82"/>
      <c r="T5" s="82"/>
      <c r="U5" s="82"/>
      <c r="V5" s="82"/>
      <c r="W5" s="82"/>
      <c r="X5" s="82"/>
      <c r="Y5" s="82"/>
      <c r="Z5" s="82"/>
    </row>
    <row r="6" ht="13.5" customHeight="1">
      <c r="A6" s="91"/>
      <c r="C6" s="107" t="s">
        <v>48</v>
      </c>
      <c r="M6" s="132"/>
      <c r="N6" s="132"/>
      <c r="O6" s="133"/>
    </row>
    <row r="7" ht="13.5" customHeight="1">
      <c r="A7" s="134"/>
      <c r="D7" s="135" t="s">
        <v>49</v>
      </c>
      <c r="E7" s="43"/>
      <c r="F7" s="43"/>
      <c r="G7" s="43"/>
      <c r="H7" s="43"/>
      <c r="I7" s="44"/>
      <c r="J7" s="136">
        <v>14.0</v>
      </c>
      <c r="K7" s="44"/>
      <c r="O7" s="90"/>
    </row>
    <row r="8" ht="13.5" customHeight="1">
      <c r="A8" s="91"/>
      <c r="D8" s="137" t="s">
        <v>50</v>
      </c>
      <c r="E8" s="43"/>
      <c r="F8" s="43"/>
      <c r="G8" s="43"/>
      <c r="H8" s="43"/>
      <c r="I8" s="44"/>
      <c r="J8" s="138">
        <v>5.0</v>
      </c>
      <c r="K8" s="44"/>
      <c r="L8" s="139"/>
      <c r="M8" s="139"/>
      <c r="N8" s="139"/>
      <c r="O8" s="140"/>
    </row>
    <row r="9" ht="13.5" customHeight="1">
      <c r="A9" s="91"/>
      <c r="D9" s="141" t="s">
        <v>36</v>
      </c>
      <c r="E9" s="43"/>
      <c r="F9" s="43"/>
      <c r="G9" s="43"/>
      <c r="H9" s="43"/>
      <c r="I9" s="44"/>
      <c r="J9" s="142">
        <f>SUM(I7:J8)</f>
        <v>19</v>
      </c>
      <c r="K9" s="44"/>
      <c r="L9" s="139"/>
      <c r="M9" s="139"/>
      <c r="N9" s="139"/>
      <c r="O9" s="140"/>
    </row>
    <row r="10" ht="7.5" customHeight="1">
      <c r="A10" s="91"/>
      <c r="D10" s="143"/>
      <c r="E10" s="143"/>
      <c r="F10" s="143"/>
      <c r="G10" s="143"/>
      <c r="H10" s="143"/>
      <c r="I10" s="143"/>
      <c r="J10" s="144"/>
      <c r="K10" s="144"/>
      <c r="L10" s="139"/>
      <c r="M10" s="139"/>
      <c r="N10" s="139"/>
      <c r="O10" s="140"/>
    </row>
    <row r="11" ht="13.5" customHeight="1">
      <c r="A11" s="91"/>
      <c r="C11" s="145" t="s">
        <v>51</v>
      </c>
      <c r="H11" s="139"/>
      <c r="I11" s="139"/>
      <c r="J11" s="139"/>
      <c r="K11" s="139"/>
      <c r="L11" s="139"/>
      <c r="M11" s="139"/>
      <c r="N11" s="139"/>
      <c r="O11" s="140"/>
    </row>
    <row r="12" ht="13.5" customHeight="1">
      <c r="A12" s="91"/>
      <c r="D12" s="146" t="s">
        <v>30</v>
      </c>
      <c r="E12" s="43"/>
      <c r="F12" s="43"/>
      <c r="G12" s="43"/>
      <c r="H12" s="43"/>
      <c r="I12" s="75"/>
      <c r="J12" s="94">
        <v>0.0</v>
      </c>
      <c r="K12" s="44"/>
      <c r="L12" s="139"/>
      <c r="M12" s="139"/>
      <c r="N12" s="139"/>
      <c r="O12" s="140"/>
    </row>
    <row r="13" ht="13.5" customHeight="1">
      <c r="A13" s="91"/>
      <c r="D13" s="147" t="s">
        <v>52</v>
      </c>
      <c r="E13" s="43"/>
      <c r="F13" s="43"/>
      <c r="G13" s="43"/>
      <c r="H13" s="43"/>
      <c r="I13" s="43"/>
      <c r="J13" s="99">
        <v>2.0</v>
      </c>
      <c r="K13" s="44"/>
      <c r="L13" s="139"/>
      <c r="M13" s="139"/>
      <c r="N13" s="139"/>
      <c r="O13" s="140"/>
    </row>
    <row r="14" ht="13.5" customHeight="1">
      <c r="A14" s="91"/>
      <c r="D14" s="146" t="s">
        <v>53</v>
      </c>
      <c r="E14" s="43"/>
      <c r="F14" s="43"/>
      <c r="G14" s="43"/>
      <c r="H14" s="43"/>
      <c r="I14" s="75"/>
      <c r="J14" s="94">
        <v>6.0</v>
      </c>
      <c r="K14" s="44"/>
      <c r="L14" s="139"/>
      <c r="M14" s="139"/>
      <c r="N14" s="139"/>
      <c r="O14" s="140"/>
    </row>
    <row r="15" ht="13.5" customHeight="1">
      <c r="A15" s="91"/>
      <c r="D15" s="147" t="s">
        <v>54</v>
      </c>
      <c r="E15" s="43"/>
      <c r="F15" s="43"/>
      <c r="G15" s="43"/>
      <c r="H15" s="43"/>
      <c r="I15" s="43"/>
      <c r="J15" s="99">
        <v>0.0</v>
      </c>
      <c r="K15" s="44"/>
      <c r="L15" s="139"/>
      <c r="M15" s="139"/>
      <c r="N15" s="139"/>
      <c r="O15" s="140"/>
    </row>
    <row r="16" ht="13.5" customHeight="1">
      <c r="A16" s="91"/>
      <c r="D16" s="146" t="s">
        <v>55</v>
      </c>
      <c r="E16" s="43"/>
      <c r="F16" s="43"/>
      <c r="G16" s="43"/>
      <c r="H16" s="43"/>
      <c r="I16" s="75"/>
      <c r="J16" s="94">
        <v>0.0</v>
      </c>
      <c r="K16" s="44"/>
      <c r="L16" s="139"/>
      <c r="M16" s="139"/>
      <c r="N16" s="139"/>
      <c r="O16" s="140"/>
    </row>
    <row r="17" ht="7.5" customHeight="1">
      <c r="A17" s="91"/>
      <c r="D17" s="143"/>
      <c r="E17" s="143"/>
      <c r="F17" s="143"/>
      <c r="G17" s="143"/>
      <c r="H17" s="143"/>
      <c r="I17" s="143"/>
      <c r="J17" s="144"/>
      <c r="K17" s="144"/>
      <c r="L17" s="139"/>
      <c r="M17" s="139"/>
      <c r="N17" s="139"/>
      <c r="O17" s="140"/>
    </row>
    <row r="18" ht="13.5" customHeight="1">
      <c r="A18" s="91"/>
      <c r="C18" s="148" t="s">
        <v>56</v>
      </c>
      <c r="H18" s="139"/>
      <c r="I18" s="139"/>
      <c r="J18" s="139"/>
      <c r="K18" s="139"/>
      <c r="L18" s="139"/>
      <c r="M18" s="139"/>
      <c r="N18" s="139"/>
      <c r="O18" s="140"/>
    </row>
    <row r="19" ht="13.5" customHeight="1">
      <c r="A19" s="91"/>
      <c r="D19" s="149" t="s">
        <v>57</v>
      </c>
      <c r="E19" s="43"/>
      <c r="F19" s="43"/>
      <c r="G19" s="43"/>
      <c r="H19" s="43"/>
      <c r="I19" s="75"/>
      <c r="J19" s="94">
        <v>3.0</v>
      </c>
      <c r="K19" s="44"/>
      <c r="L19" s="139"/>
      <c r="M19" s="139"/>
      <c r="N19" s="139"/>
      <c r="O19" s="140"/>
    </row>
    <row r="20" ht="13.5" customHeight="1">
      <c r="A20" s="91"/>
      <c r="D20" s="150" t="s">
        <v>58</v>
      </c>
      <c r="E20" s="43"/>
      <c r="F20" s="43"/>
      <c r="G20" s="43"/>
      <c r="H20" s="43"/>
      <c r="I20" s="43"/>
      <c r="J20" s="99">
        <v>0.0</v>
      </c>
      <c r="K20" s="44"/>
      <c r="L20" s="139"/>
      <c r="M20" s="139"/>
      <c r="N20" s="139"/>
      <c r="O20" s="140"/>
    </row>
    <row r="21" ht="13.5" customHeight="1">
      <c r="A21" s="91"/>
      <c r="D21" s="149" t="s">
        <v>59</v>
      </c>
      <c r="E21" s="43"/>
      <c r="F21" s="43"/>
      <c r="G21" s="43"/>
      <c r="H21" s="43"/>
      <c r="I21" s="75"/>
      <c r="J21" s="94">
        <v>4.0</v>
      </c>
      <c r="K21" s="44"/>
      <c r="L21" s="139"/>
      <c r="M21" s="139"/>
      <c r="N21" s="139"/>
      <c r="O21" s="140"/>
    </row>
    <row r="22" ht="13.5" customHeight="1">
      <c r="A22" s="91"/>
      <c r="D22" s="150" t="s">
        <v>60</v>
      </c>
      <c r="E22" s="43"/>
      <c r="F22" s="43"/>
      <c r="G22" s="43"/>
      <c r="H22" s="43"/>
      <c r="I22" s="43"/>
      <c r="J22" s="99">
        <v>0.0</v>
      </c>
      <c r="K22" s="44"/>
      <c r="L22" s="139"/>
      <c r="M22" s="139"/>
      <c r="N22" s="139"/>
      <c r="O22" s="140"/>
    </row>
    <row r="23" ht="13.5" customHeight="1">
      <c r="A23" s="91"/>
      <c r="D23" s="149" t="s">
        <v>61</v>
      </c>
      <c r="E23" s="43"/>
      <c r="F23" s="43"/>
      <c r="G23" s="43"/>
      <c r="H23" s="43"/>
      <c r="I23" s="75"/>
      <c r="J23" s="94">
        <v>0.0</v>
      </c>
      <c r="K23" s="44"/>
      <c r="L23" s="139"/>
      <c r="M23" s="139"/>
      <c r="N23" s="139"/>
      <c r="O23" s="140"/>
    </row>
    <row r="24" ht="13.5" customHeight="1">
      <c r="A24" s="91"/>
      <c r="D24" s="150" t="s">
        <v>62</v>
      </c>
      <c r="E24" s="43"/>
      <c r="F24" s="43"/>
      <c r="G24" s="43"/>
      <c r="H24" s="43"/>
      <c r="I24" s="43"/>
      <c r="J24" s="99">
        <v>0.0</v>
      </c>
      <c r="K24" s="44"/>
      <c r="L24" s="139"/>
      <c r="M24" s="139"/>
      <c r="N24" s="139"/>
      <c r="O24" s="140"/>
    </row>
    <row r="25" ht="13.5" customHeight="1">
      <c r="A25" s="91"/>
      <c r="D25" s="149" t="s">
        <v>63</v>
      </c>
      <c r="E25" s="43"/>
      <c r="F25" s="43"/>
      <c r="G25" s="43"/>
      <c r="H25" s="43"/>
      <c r="I25" s="75"/>
      <c r="J25" s="94">
        <v>0.0</v>
      </c>
      <c r="K25" s="44"/>
      <c r="L25" s="139"/>
      <c r="M25" s="139"/>
      <c r="N25" s="139"/>
      <c r="O25" s="140"/>
    </row>
    <row r="26" ht="13.5" customHeight="1">
      <c r="A26" s="91"/>
      <c r="D26" s="151" t="s">
        <v>36</v>
      </c>
      <c r="E26" s="43"/>
      <c r="F26" s="43"/>
      <c r="G26" s="43"/>
      <c r="H26" s="43"/>
      <c r="I26" s="44"/>
      <c r="J26" s="106">
        <f>SUM(J19:K25)</f>
        <v>7</v>
      </c>
      <c r="K26" s="44"/>
      <c r="L26" s="139"/>
      <c r="M26" s="139"/>
      <c r="N26" s="139"/>
      <c r="O26" s="140"/>
    </row>
    <row r="27" ht="7.5" customHeight="1">
      <c r="A27" s="91"/>
      <c r="E27" s="139"/>
      <c r="F27" s="139"/>
      <c r="G27" s="139"/>
      <c r="H27" s="139"/>
      <c r="I27" s="139"/>
      <c r="J27" s="139"/>
      <c r="K27" s="139"/>
      <c r="L27" s="139"/>
      <c r="M27" s="139"/>
      <c r="N27" s="139"/>
      <c r="O27" s="140"/>
    </row>
    <row r="28" ht="13.5" customHeight="1">
      <c r="A28" s="91"/>
      <c r="C28" s="152" t="s">
        <v>64</v>
      </c>
      <c r="H28" s="139"/>
      <c r="I28" s="139"/>
      <c r="J28" s="139"/>
      <c r="K28" s="139"/>
      <c r="L28" s="139"/>
      <c r="M28" s="139"/>
      <c r="N28" s="139"/>
      <c r="O28" s="140"/>
    </row>
    <row r="29" ht="13.5" customHeight="1">
      <c r="A29" s="91"/>
      <c r="C29" s="69"/>
      <c r="D29" s="149" t="s">
        <v>65</v>
      </c>
      <c r="E29" s="43"/>
      <c r="F29" s="43"/>
      <c r="G29" s="43"/>
      <c r="H29" s="43"/>
      <c r="I29" s="44"/>
      <c r="J29" s="94" t="s">
        <v>66</v>
      </c>
      <c r="K29" s="44"/>
      <c r="L29" s="139"/>
      <c r="M29" s="139"/>
      <c r="N29" s="139"/>
      <c r="O29" s="140"/>
    </row>
    <row r="30" ht="7.5" customHeight="1">
      <c r="A30" s="91"/>
      <c r="E30" s="139"/>
      <c r="F30" s="139"/>
      <c r="G30" s="139"/>
      <c r="H30" s="139"/>
      <c r="I30" s="139"/>
      <c r="J30" s="139"/>
      <c r="K30" s="139"/>
      <c r="L30" s="139"/>
      <c r="M30" s="139"/>
      <c r="N30" s="139"/>
      <c r="O30" s="140"/>
    </row>
    <row r="31" ht="18.0" customHeight="1">
      <c r="A31" s="91"/>
      <c r="C31" s="88" t="s">
        <v>67</v>
      </c>
      <c r="G31" s="139"/>
      <c r="H31" s="139"/>
      <c r="I31" s="139"/>
      <c r="J31" s="139"/>
      <c r="K31" s="139"/>
      <c r="L31" s="139"/>
      <c r="M31" s="139"/>
      <c r="N31" s="139"/>
      <c r="O31" s="140"/>
    </row>
    <row r="32" ht="13.5" customHeight="1">
      <c r="A32" s="91"/>
      <c r="D32" s="146" t="s">
        <v>34</v>
      </c>
      <c r="E32" s="43"/>
      <c r="F32" s="43"/>
      <c r="G32" s="43"/>
      <c r="H32" s="43"/>
      <c r="I32" s="44"/>
      <c r="J32" s="153">
        <v>14.0</v>
      </c>
      <c r="K32" s="44"/>
      <c r="L32" s="139"/>
      <c r="M32" s="139"/>
      <c r="N32" s="139"/>
      <c r="O32" s="140"/>
    </row>
    <row r="33" ht="13.5" customHeight="1">
      <c r="A33" s="91"/>
      <c r="D33" s="147" t="s">
        <v>35</v>
      </c>
      <c r="E33" s="43"/>
      <c r="F33" s="43"/>
      <c r="G33" s="43"/>
      <c r="H33" s="43"/>
      <c r="I33" s="44"/>
      <c r="J33" s="108">
        <v>3.0</v>
      </c>
      <c r="K33" s="44"/>
      <c r="L33" s="139"/>
      <c r="M33" s="139"/>
      <c r="N33" s="139"/>
      <c r="O33" s="140"/>
    </row>
    <row r="34" ht="13.5" customHeight="1">
      <c r="A34" s="91"/>
      <c r="D34" s="154" t="s">
        <v>36</v>
      </c>
      <c r="E34" s="43"/>
      <c r="F34" s="43"/>
      <c r="G34" s="43"/>
      <c r="H34" s="43"/>
      <c r="I34" s="44"/>
      <c r="J34" s="155">
        <f>SUM(J32:K33)</f>
        <v>17</v>
      </c>
      <c r="K34" s="44"/>
      <c r="L34" s="139"/>
      <c r="M34" s="139"/>
      <c r="N34" s="139"/>
      <c r="O34" s="140"/>
    </row>
    <row r="35" ht="7.5" customHeight="1">
      <c r="A35" s="91"/>
      <c r="E35" s="139"/>
      <c r="F35" s="139"/>
      <c r="G35" s="139"/>
      <c r="H35" s="139"/>
      <c r="I35" s="139"/>
      <c r="J35" s="139"/>
      <c r="K35" s="139"/>
      <c r="L35" s="139"/>
      <c r="M35" s="139"/>
      <c r="N35" s="139"/>
      <c r="O35" s="140"/>
    </row>
    <row r="36" ht="15.75" customHeight="1">
      <c r="A36" s="91"/>
      <c r="C36" s="88" t="s">
        <v>37</v>
      </c>
      <c r="H36" s="139"/>
      <c r="I36" s="139"/>
      <c r="J36" s="139"/>
      <c r="K36" s="139"/>
      <c r="L36" s="139"/>
      <c r="M36" s="139"/>
      <c r="N36" s="139"/>
      <c r="O36" s="140"/>
    </row>
    <row r="37" ht="13.5" customHeight="1">
      <c r="A37" s="91"/>
      <c r="D37" s="146" t="s">
        <v>38</v>
      </c>
      <c r="E37" s="43"/>
      <c r="F37" s="43"/>
      <c r="G37" s="43"/>
      <c r="H37" s="43"/>
      <c r="I37" s="75"/>
      <c r="J37" s="94">
        <v>3.0</v>
      </c>
      <c r="K37" s="44"/>
      <c r="L37" s="139"/>
      <c r="M37" s="139"/>
      <c r="N37" s="139"/>
      <c r="O37" s="140"/>
    </row>
    <row r="38" ht="13.5" customHeight="1">
      <c r="A38" s="134"/>
      <c r="D38" s="147" t="s">
        <v>39</v>
      </c>
      <c r="E38" s="43"/>
      <c r="F38" s="43"/>
      <c r="G38" s="43"/>
      <c r="H38" s="43"/>
      <c r="I38" s="43"/>
      <c r="J38" s="99">
        <v>12.0</v>
      </c>
      <c r="K38" s="44"/>
      <c r="L38" s="139"/>
      <c r="M38" s="139"/>
      <c r="N38" s="139"/>
      <c r="O38" s="140"/>
    </row>
    <row r="39" ht="13.5" customHeight="1">
      <c r="A39" s="91"/>
      <c r="B39" s="69"/>
      <c r="D39" s="146" t="s">
        <v>40</v>
      </c>
      <c r="E39" s="43"/>
      <c r="F39" s="43"/>
      <c r="G39" s="43"/>
      <c r="H39" s="43"/>
      <c r="I39" s="75"/>
      <c r="J39" s="94">
        <v>0.0</v>
      </c>
      <c r="K39" s="44"/>
      <c r="L39" s="139"/>
      <c r="M39" s="139"/>
      <c r="N39" s="139"/>
      <c r="O39" s="140"/>
    </row>
    <row r="40" ht="13.5" customHeight="1">
      <c r="A40" s="91"/>
      <c r="B40" s="69"/>
      <c r="D40" s="147" t="s">
        <v>41</v>
      </c>
      <c r="E40" s="43"/>
      <c r="F40" s="43"/>
      <c r="G40" s="43"/>
      <c r="H40" s="43"/>
      <c r="I40" s="43"/>
      <c r="J40" s="99">
        <v>0.0</v>
      </c>
      <c r="K40" s="44"/>
      <c r="L40" s="139"/>
      <c r="M40" s="139"/>
      <c r="N40" s="139"/>
      <c r="O40" s="140"/>
    </row>
    <row r="41" ht="13.5" customHeight="1">
      <c r="A41" s="91"/>
      <c r="B41" s="69"/>
      <c r="D41" s="146" t="s">
        <v>42</v>
      </c>
      <c r="E41" s="43"/>
      <c r="F41" s="43"/>
      <c r="G41" s="43"/>
      <c r="H41" s="43"/>
      <c r="I41" s="75"/>
      <c r="J41" s="94">
        <v>1.0</v>
      </c>
      <c r="K41" s="44"/>
      <c r="L41" s="139"/>
      <c r="M41" s="139"/>
      <c r="N41" s="139"/>
      <c r="O41" s="140"/>
    </row>
    <row r="42" ht="13.5" customHeight="1">
      <c r="A42" s="91"/>
      <c r="B42" s="69"/>
      <c r="D42" s="147" t="s">
        <v>43</v>
      </c>
      <c r="E42" s="43"/>
      <c r="F42" s="43"/>
      <c r="G42" s="43"/>
      <c r="H42" s="43"/>
      <c r="I42" s="43"/>
      <c r="J42" s="99">
        <v>0.0</v>
      </c>
      <c r="K42" s="44"/>
      <c r="L42" s="139"/>
      <c r="M42" s="139"/>
      <c r="N42" s="139"/>
      <c r="O42" s="140"/>
    </row>
    <row r="43" ht="13.5" customHeight="1">
      <c r="A43" s="91"/>
      <c r="B43" s="69"/>
      <c r="D43" s="146" t="s">
        <v>44</v>
      </c>
      <c r="E43" s="43"/>
      <c r="F43" s="43"/>
      <c r="G43" s="43"/>
      <c r="H43" s="43"/>
      <c r="I43" s="75"/>
      <c r="J43" s="94">
        <v>0.0</v>
      </c>
      <c r="K43" s="44"/>
      <c r="L43" s="139"/>
      <c r="M43" s="139"/>
      <c r="N43" s="139"/>
      <c r="O43" s="140"/>
    </row>
    <row r="44" ht="13.5" customHeight="1">
      <c r="A44" s="91"/>
      <c r="D44" s="154" t="s">
        <v>36</v>
      </c>
      <c r="E44" s="43"/>
      <c r="F44" s="43"/>
      <c r="G44" s="43"/>
      <c r="H44" s="43"/>
      <c r="I44" s="75"/>
      <c r="J44" s="106">
        <f>SUM(J37:K43)</f>
        <v>16</v>
      </c>
      <c r="K44" s="44"/>
      <c r="L44" s="139"/>
      <c r="M44" s="139"/>
      <c r="N44" s="139"/>
      <c r="O44" s="140"/>
    </row>
    <row r="45" ht="6.75" customHeight="1">
      <c r="A45" s="112"/>
      <c r="B45" s="114"/>
      <c r="C45" s="114"/>
      <c r="D45" s="114"/>
      <c r="E45" s="156"/>
      <c r="F45" s="156"/>
      <c r="G45" s="156"/>
      <c r="H45" s="156"/>
      <c r="I45" s="156"/>
      <c r="J45" s="156"/>
      <c r="K45" s="156"/>
      <c r="L45" s="156"/>
      <c r="M45" s="156"/>
      <c r="N45" s="156"/>
      <c r="O45" s="157"/>
    </row>
    <row r="46" ht="7.5" customHeight="1">
      <c r="C46" s="69"/>
      <c r="D46" s="69"/>
      <c r="E46" s="139"/>
      <c r="F46" s="139"/>
      <c r="G46" s="139"/>
      <c r="H46" s="139"/>
      <c r="I46" s="139"/>
      <c r="J46" s="139"/>
      <c r="K46" s="139"/>
      <c r="L46" s="139"/>
      <c r="M46" s="139"/>
      <c r="N46" s="139"/>
      <c r="O46" s="139"/>
    </row>
    <row r="47" ht="13.5" customHeight="1">
      <c r="A47" s="117" t="s">
        <v>45</v>
      </c>
    </row>
    <row r="48" ht="13.5" customHeight="1">
      <c r="A48" s="118"/>
      <c r="B48" s="8"/>
      <c r="C48" s="8"/>
      <c r="D48" s="8"/>
      <c r="E48" s="8"/>
      <c r="F48" s="8"/>
      <c r="G48" s="8"/>
      <c r="H48" s="8"/>
      <c r="I48" s="8"/>
      <c r="J48" s="8"/>
      <c r="K48" s="8"/>
      <c r="L48" s="8"/>
      <c r="M48" s="8"/>
      <c r="N48" s="8"/>
      <c r="O48" s="9"/>
    </row>
    <row r="49" ht="13.5" customHeight="1">
      <c r="A49" s="10"/>
      <c r="O49" s="31"/>
    </row>
    <row r="50" ht="13.5" customHeight="1">
      <c r="A50" s="10"/>
      <c r="O50" s="31"/>
    </row>
    <row r="51" ht="13.5" customHeight="1">
      <c r="A51" s="10"/>
      <c r="O51" s="31"/>
    </row>
    <row r="52" ht="7.5" customHeight="1">
      <c r="A52" s="10"/>
      <c r="O52" s="31"/>
    </row>
    <row r="53" ht="7.5" customHeight="1">
      <c r="A53" s="10"/>
      <c r="O53" s="31"/>
    </row>
    <row r="54" ht="7.5" customHeight="1">
      <c r="A54" s="21"/>
      <c r="B54" s="53"/>
      <c r="C54" s="53"/>
      <c r="D54" s="53"/>
      <c r="E54" s="53"/>
      <c r="F54" s="53"/>
      <c r="G54" s="53"/>
      <c r="H54" s="53"/>
      <c r="I54" s="53"/>
      <c r="J54" s="53"/>
      <c r="K54" s="53"/>
      <c r="L54" s="53"/>
      <c r="M54" s="53"/>
      <c r="N54" s="53"/>
      <c r="O54" s="54"/>
    </row>
    <row r="55" ht="7.5" customHeight="1">
      <c r="A55" s="158"/>
      <c r="B55" s="158"/>
      <c r="C55" s="158"/>
      <c r="D55" s="158"/>
      <c r="E55" s="158"/>
      <c r="F55" s="158"/>
      <c r="G55" s="158"/>
      <c r="H55" s="158"/>
      <c r="I55" s="158"/>
      <c r="J55" s="158"/>
      <c r="K55" s="158"/>
      <c r="L55" s="158"/>
      <c r="M55" s="158"/>
      <c r="N55" s="158"/>
      <c r="O55" s="158"/>
    </row>
    <row r="56" ht="18.0" customHeight="1">
      <c r="A56" s="159" t="s">
        <v>68</v>
      </c>
      <c r="B56" s="160"/>
      <c r="C56" s="160"/>
      <c r="D56" s="160"/>
      <c r="E56" s="160"/>
      <c r="F56" s="161"/>
      <c r="G56" s="160"/>
      <c r="H56" s="160"/>
      <c r="I56" s="160"/>
      <c r="J56" s="160"/>
      <c r="K56" s="162"/>
      <c r="L56" s="117"/>
      <c r="M56" s="117"/>
      <c r="N56" s="163"/>
      <c r="O56" s="163"/>
      <c r="P56" s="117"/>
      <c r="Q56" s="117"/>
      <c r="R56" s="117"/>
      <c r="S56" s="117"/>
      <c r="T56" s="117"/>
      <c r="U56" s="117"/>
      <c r="V56" s="117"/>
      <c r="W56" s="117"/>
      <c r="X56" s="117"/>
      <c r="Y56" s="117"/>
      <c r="Z56" s="117"/>
    </row>
    <row r="57" ht="10.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C28:G28"/>
    <mergeCell ref="D29:I29"/>
    <mergeCell ref="J29:K29"/>
    <mergeCell ref="C31:F31"/>
    <mergeCell ref="D32:I32"/>
    <mergeCell ref="J32:K32"/>
    <mergeCell ref="D33:I33"/>
    <mergeCell ref="J33:K33"/>
    <mergeCell ref="D34:I34"/>
    <mergeCell ref="J34:K34"/>
  </mergeCells>
  <printOptions horizontalCentered="1"/>
  <pageMargins bottom="0.25" footer="0.0" header="0.0" left="0.2" right="0.2" top="0.25"/>
  <pageSetup orientation="portrait"/>
  <headerFooter>
    <oddFooter>&amp;L&amp;F</oddFooter>
  </headerFooter>
  <rowBreaks count="1" manualBreakCount="1">
    <brk id="56"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5.0" topLeftCell="A6" activePane="bottomLeft" state="frozen"/>
      <selection activeCell="B7" sqref="B7" pane="bottomLeft"/>
    </sheetView>
  </sheetViews>
  <sheetFormatPr customHeight="1" defaultColWidth="12.63" defaultRowHeight="15.0"/>
  <cols>
    <col customWidth="1" min="1" max="1" width="10.13"/>
    <col customWidth="1" min="2" max="8" width="8.88"/>
    <col customWidth="1" min="9" max="9" width="11.0"/>
    <col customWidth="1" min="10" max="26" width="8.88"/>
  </cols>
  <sheetData>
    <row r="1" ht="12.75" customHeight="1">
      <c r="A1" s="164" t="s">
        <v>26</v>
      </c>
      <c r="B1" s="43"/>
      <c r="C1" s="43"/>
      <c r="D1" s="43"/>
      <c r="E1" s="43"/>
      <c r="F1" s="75"/>
      <c r="G1" s="76" t="str">
        <f>'CONTACT INFORMATION'!$A$24</f>
        <v>Amador</v>
      </c>
      <c r="H1" s="43"/>
      <c r="I1" s="44"/>
    </row>
    <row r="2" ht="13.5" customHeight="1">
      <c r="A2" s="165"/>
      <c r="B2" s="165"/>
      <c r="C2" s="165"/>
      <c r="D2" s="165"/>
      <c r="E2" s="165"/>
      <c r="F2" s="165"/>
      <c r="G2" s="166"/>
      <c r="H2" s="166"/>
      <c r="I2" s="166"/>
    </row>
    <row r="3" ht="12.75" customHeight="1">
      <c r="A3" s="130" t="s">
        <v>69</v>
      </c>
      <c r="B3" s="49"/>
      <c r="C3" s="49"/>
      <c r="D3" s="49"/>
      <c r="E3" s="49"/>
      <c r="F3" s="49"/>
      <c r="G3" s="49"/>
      <c r="H3" s="49"/>
      <c r="I3" s="50"/>
      <c r="J3" s="167"/>
      <c r="K3" s="167"/>
      <c r="L3" s="167"/>
      <c r="M3" s="167"/>
      <c r="N3" s="167"/>
      <c r="O3" s="167"/>
      <c r="P3" s="167"/>
      <c r="Q3" s="167"/>
      <c r="R3" s="167"/>
      <c r="S3" s="167"/>
      <c r="T3" s="167"/>
      <c r="U3" s="167"/>
      <c r="V3" s="167"/>
      <c r="W3" s="167"/>
      <c r="X3" s="167"/>
      <c r="Y3" s="167"/>
      <c r="Z3" s="167"/>
    </row>
    <row r="4" ht="12.75" customHeight="1">
      <c r="A4" s="168" t="s">
        <v>70</v>
      </c>
      <c r="B4" s="56"/>
      <c r="C4" s="56"/>
      <c r="D4" s="56"/>
      <c r="E4" s="56"/>
      <c r="F4" s="56"/>
      <c r="G4" s="56"/>
      <c r="H4" s="56"/>
      <c r="I4" s="57"/>
      <c r="J4" s="167"/>
      <c r="K4" s="167"/>
      <c r="L4" s="167"/>
      <c r="M4" s="167"/>
      <c r="N4" s="167"/>
      <c r="O4" s="167"/>
      <c r="P4" s="167"/>
      <c r="Q4" s="167"/>
      <c r="R4" s="167"/>
      <c r="S4" s="167"/>
      <c r="T4" s="167"/>
      <c r="U4" s="167"/>
      <c r="V4" s="167"/>
      <c r="W4" s="167"/>
      <c r="X4" s="167"/>
      <c r="Y4" s="167"/>
      <c r="Z4" s="167"/>
    </row>
    <row r="5" ht="21.0" customHeight="1">
      <c r="A5" s="169" t="s">
        <v>71</v>
      </c>
      <c r="B5" s="170"/>
      <c r="C5" s="170"/>
      <c r="D5" s="170"/>
      <c r="E5" s="170"/>
      <c r="F5" s="170"/>
      <c r="G5" s="170"/>
      <c r="H5" s="170"/>
      <c r="I5" s="171"/>
      <c r="J5" s="172"/>
      <c r="K5" s="172"/>
      <c r="L5" s="172"/>
      <c r="M5" s="172"/>
      <c r="N5" s="172"/>
      <c r="O5" s="172"/>
      <c r="P5" s="172"/>
      <c r="Q5" s="172"/>
      <c r="R5" s="172"/>
      <c r="S5" s="172"/>
      <c r="T5" s="172"/>
      <c r="U5" s="172"/>
      <c r="V5" s="172"/>
      <c r="W5" s="172"/>
      <c r="X5" s="172"/>
      <c r="Y5" s="172"/>
      <c r="Z5" s="172"/>
    </row>
    <row r="6" ht="12.75" customHeight="1">
      <c r="A6" s="91"/>
      <c r="B6" s="69"/>
      <c r="C6" s="100"/>
      <c r="D6" s="100"/>
      <c r="E6" s="100"/>
      <c r="F6" s="100"/>
      <c r="G6" s="101"/>
      <c r="H6" s="101"/>
      <c r="I6" s="173"/>
    </row>
    <row r="7" ht="12.75" customHeight="1">
      <c r="A7" s="91"/>
      <c r="B7" s="69"/>
      <c r="C7" s="100"/>
      <c r="D7" s="100"/>
      <c r="E7" s="100"/>
      <c r="F7" s="100"/>
      <c r="G7" s="101"/>
      <c r="H7" s="101"/>
      <c r="I7" s="173"/>
    </row>
    <row r="8" ht="12.75" customHeight="1">
      <c r="A8" s="91"/>
      <c r="B8" s="107" t="s">
        <v>72</v>
      </c>
      <c r="D8" s="174"/>
      <c r="E8" s="89"/>
      <c r="H8" s="101"/>
      <c r="I8" s="173"/>
    </row>
    <row r="9" ht="12.75" customHeight="1">
      <c r="A9" s="91"/>
      <c r="B9" s="107"/>
      <c r="C9" s="175" t="s">
        <v>73</v>
      </c>
      <c r="D9" s="43"/>
      <c r="E9" s="43"/>
      <c r="F9" s="44"/>
      <c r="G9" s="94">
        <v>10.0</v>
      </c>
      <c r="H9" s="44"/>
      <c r="I9" s="173"/>
    </row>
    <row r="10" ht="12.75" customHeight="1">
      <c r="A10" s="91"/>
      <c r="B10" s="107"/>
      <c r="C10" s="176" t="s">
        <v>74</v>
      </c>
      <c r="D10" s="43"/>
      <c r="E10" s="43"/>
      <c r="F10" s="44"/>
      <c r="G10" s="99">
        <v>1.0</v>
      </c>
      <c r="H10" s="44"/>
      <c r="I10" s="173"/>
    </row>
    <row r="11" ht="12.75" customHeight="1">
      <c r="A11" s="91"/>
      <c r="B11" s="107"/>
      <c r="C11" s="175" t="s">
        <v>75</v>
      </c>
      <c r="D11" s="43"/>
      <c r="E11" s="43"/>
      <c r="F11" s="44"/>
      <c r="G11" s="94">
        <v>0.0</v>
      </c>
      <c r="H11" s="44"/>
      <c r="I11" s="173"/>
    </row>
    <row r="12" ht="12.75" customHeight="1">
      <c r="A12" s="91"/>
      <c r="B12" s="69"/>
      <c r="C12" s="105" t="s">
        <v>36</v>
      </c>
      <c r="D12" s="43"/>
      <c r="E12" s="43"/>
      <c r="F12" s="44"/>
      <c r="G12" s="142">
        <f>SUM(G9:H11)</f>
        <v>11</v>
      </c>
      <c r="H12" s="44"/>
      <c r="I12" s="173"/>
    </row>
    <row r="13" ht="12.75" customHeight="1">
      <c r="A13" s="91"/>
      <c r="B13" s="69"/>
      <c r="C13" s="100"/>
      <c r="D13" s="100"/>
      <c r="E13" s="100"/>
      <c r="F13" s="100"/>
      <c r="G13" s="101"/>
      <c r="H13" s="101"/>
      <c r="I13" s="173"/>
    </row>
    <row r="14" ht="12.75" customHeight="1">
      <c r="A14" s="91"/>
      <c r="C14" s="95"/>
      <c r="D14" s="95"/>
      <c r="E14" s="95"/>
      <c r="F14" s="95"/>
      <c r="G14" s="96"/>
      <c r="H14" s="96"/>
      <c r="I14" s="97"/>
    </row>
    <row r="15" ht="12.75" customHeight="1">
      <c r="A15" s="102"/>
      <c r="B15" s="152" t="s">
        <v>33</v>
      </c>
      <c r="I15" s="31"/>
    </row>
    <row r="16" ht="12.75" customHeight="1">
      <c r="A16" s="91"/>
      <c r="C16" s="93" t="s">
        <v>34</v>
      </c>
      <c r="D16" s="43"/>
      <c r="E16" s="43"/>
      <c r="F16" s="44"/>
      <c r="G16" s="94">
        <v>10.0</v>
      </c>
      <c r="H16" s="44"/>
      <c r="I16" s="97"/>
    </row>
    <row r="17" ht="12.75" customHeight="1">
      <c r="A17" s="91"/>
      <c r="C17" s="98" t="s">
        <v>35</v>
      </c>
      <c r="D17" s="43"/>
      <c r="E17" s="43"/>
      <c r="F17" s="44"/>
      <c r="G17" s="99">
        <v>1.0</v>
      </c>
      <c r="H17" s="44"/>
      <c r="I17" s="97"/>
    </row>
    <row r="18" ht="12.75" customHeight="1">
      <c r="A18" s="91"/>
      <c r="C18" s="105" t="s">
        <v>36</v>
      </c>
      <c r="D18" s="43"/>
      <c r="E18" s="43"/>
      <c r="F18" s="44"/>
      <c r="G18" s="106">
        <f>SUM(G16:H17)</f>
        <v>11</v>
      </c>
      <c r="H18" s="44"/>
      <c r="I18" s="97"/>
    </row>
    <row r="19" ht="12.75" customHeight="1">
      <c r="A19" s="91"/>
      <c r="C19" s="177"/>
      <c r="D19" s="177"/>
      <c r="E19" s="177"/>
      <c r="F19" s="177"/>
      <c r="G19" s="139"/>
      <c r="H19" s="139"/>
      <c r="I19" s="97"/>
    </row>
    <row r="20" ht="12.75" customHeight="1">
      <c r="A20" s="91"/>
      <c r="C20" s="96"/>
      <c r="D20" s="96"/>
      <c r="E20" s="96"/>
      <c r="F20" s="96"/>
      <c r="G20" s="96"/>
      <c r="H20" s="96"/>
      <c r="I20" s="97"/>
    </row>
    <row r="21" ht="12.75" customHeight="1">
      <c r="A21" s="102"/>
      <c r="B21" s="88" t="s">
        <v>37</v>
      </c>
      <c r="C21" s="88"/>
      <c r="D21" s="88"/>
      <c r="E21" s="88"/>
      <c r="F21" s="88"/>
      <c r="G21" s="107"/>
      <c r="H21" s="107"/>
      <c r="I21" s="178"/>
    </row>
    <row r="22" ht="12.75" customHeight="1">
      <c r="A22" s="91"/>
      <c r="C22" s="93" t="s">
        <v>40</v>
      </c>
      <c r="D22" s="43"/>
      <c r="E22" s="43"/>
      <c r="F22" s="44"/>
      <c r="G22" s="94">
        <v>1.0</v>
      </c>
      <c r="H22" s="44"/>
      <c r="I22" s="97"/>
    </row>
    <row r="23" ht="12.75" customHeight="1">
      <c r="A23" s="91"/>
      <c r="C23" s="98" t="s">
        <v>39</v>
      </c>
      <c r="D23" s="43"/>
      <c r="E23" s="43"/>
      <c r="F23" s="44"/>
      <c r="G23" s="99">
        <v>7.0</v>
      </c>
      <c r="H23" s="44"/>
      <c r="I23" s="97"/>
    </row>
    <row r="24" ht="12.75" customHeight="1">
      <c r="A24" s="91"/>
      <c r="C24" s="93" t="s">
        <v>38</v>
      </c>
      <c r="D24" s="43"/>
      <c r="E24" s="43"/>
      <c r="F24" s="44"/>
      <c r="G24" s="94">
        <v>3.0</v>
      </c>
      <c r="H24" s="44"/>
      <c r="I24" s="97"/>
    </row>
    <row r="25" ht="12.75" customHeight="1">
      <c r="A25" s="91"/>
      <c r="C25" s="98" t="s">
        <v>62</v>
      </c>
      <c r="D25" s="43"/>
      <c r="E25" s="43"/>
      <c r="F25" s="44"/>
      <c r="G25" s="99">
        <v>0.0</v>
      </c>
      <c r="H25" s="44"/>
      <c r="I25" s="97"/>
    </row>
    <row r="26" ht="12.75" customHeight="1">
      <c r="A26" s="91"/>
      <c r="C26" s="105" t="s">
        <v>36</v>
      </c>
      <c r="D26" s="43"/>
      <c r="E26" s="43"/>
      <c r="F26" s="44"/>
      <c r="G26" s="106">
        <f>SUM(G22:H25)</f>
        <v>11</v>
      </c>
      <c r="H26" s="44"/>
      <c r="I26" s="110"/>
    </row>
    <row r="27" ht="12.75" customHeight="1">
      <c r="A27" s="91"/>
      <c r="D27" s="109"/>
      <c r="E27" s="109"/>
      <c r="F27" s="109"/>
      <c r="G27" s="109"/>
      <c r="H27" s="109"/>
      <c r="I27" s="110"/>
    </row>
    <row r="28" ht="12.75" customHeight="1">
      <c r="A28" s="91"/>
      <c r="D28" s="109"/>
      <c r="E28" s="109"/>
      <c r="F28" s="109"/>
      <c r="G28" s="109"/>
      <c r="H28" s="109"/>
      <c r="I28" s="110"/>
    </row>
    <row r="29" ht="12.75" customHeight="1">
      <c r="A29" s="112"/>
      <c r="B29" s="114"/>
      <c r="C29" s="114"/>
      <c r="D29" s="115"/>
      <c r="E29" s="115"/>
      <c r="F29" s="115"/>
      <c r="G29" s="115"/>
      <c r="H29" s="115"/>
      <c r="I29" s="116"/>
    </row>
    <row r="30" ht="12.75" customHeight="1">
      <c r="D30" s="109"/>
      <c r="E30" s="109"/>
      <c r="F30" s="109"/>
      <c r="G30" s="109"/>
      <c r="H30" s="109"/>
      <c r="I30" s="109"/>
    </row>
    <row r="31" ht="14.25" customHeight="1">
      <c r="A31" s="179" t="s">
        <v>45</v>
      </c>
    </row>
    <row r="32" ht="13.5" customHeight="1">
      <c r="A32" s="53"/>
      <c r="B32" s="53"/>
      <c r="C32" s="53"/>
      <c r="D32" s="53"/>
      <c r="E32" s="53"/>
      <c r="F32" s="53"/>
      <c r="G32" s="53"/>
      <c r="H32" s="53"/>
      <c r="I32" s="53"/>
    </row>
    <row r="33" ht="12.75" customHeight="1">
      <c r="A33" s="118"/>
      <c r="B33" s="8"/>
      <c r="C33" s="8"/>
      <c r="D33" s="8"/>
      <c r="E33" s="8"/>
      <c r="F33" s="8"/>
      <c r="G33" s="8"/>
      <c r="H33" s="8"/>
      <c r="I33" s="9"/>
    </row>
    <row r="34" ht="12.75" customHeight="1">
      <c r="A34" s="10"/>
      <c r="I34" s="31"/>
    </row>
    <row r="35" ht="12.75" customHeight="1">
      <c r="A35" s="10"/>
      <c r="I35" s="31"/>
    </row>
    <row r="36" ht="12.75" customHeight="1">
      <c r="A36" s="10"/>
      <c r="I36" s="31"/>
    </row>
    <row r="37" ht="12.75" customHeight="1">
      <c r="A37" s="10"/>
      <c r="I37" s="31"/>
    </row>
    <row r="38" ht="12.75" customHeight="1">
      <c r="A38" s="10"/>
      <c r="I38" s="31"/>
    </row>
    <row r="39" ht="12.75" customHeight="1">
      <c r="A39" s="10"/>
      <c r="I39" s="31"/>
    </row>
    <row r="40" ht="12.75" customHeight="1">
      <c r="A40" s="10"/>
      <c r="I40" s="31"/>
    </row>
    <row r="41" ht="12.75" customHeight="1">
      <c r="A41" s="10"/>
      <c r="I41" s="31"/>
    </row>
    <row r="42" ht="12.75" customHeight="1">
      <c r="A42" s="10"/>
      <c r="I42" s="31"/>
    </row>
    <row r="43" ht="12.75" customHeight="1">
      <c r="A43" s="10"/>
      <c r="I43" s="31"/>
    </row>
    <row r="44" ht="12.75" customHeight="1">
      <c r="A44" s="10"/>
      <c r="I44" s="31"/>
    </row>
    <row r="45" ht="12.75" customHeight="1">
      <c r="A45" s="10"/>
      <c r="I45" s="31"/>
    </row>
    <row r="46" ht="12.75" customHeight="1">
      <c r="A46" s="10"/>
      <c r="I46" s="31"/>
    </row>
    <row r="47" ht="12.75" customHeight="1">
      <c r="A47" s="10"/>
      <c r="I47" s="31"/>
    </row>
    <row r="48" ht="12.75" customHeight="1">
      <c r="A48" s="10"/>
      <c r="I48" s="31"/>
    </row>
    <row r="49" ht="12.75" customHeight="1">
      <c r="A49" s="10"/>
      <c r="I49" s="31"/>
    </row>
    <row r="50" ht="12.75" customHeight="1">
      <c r="A50" s="21"/>
      <c r="B50" s="53"/>
      <c r="C50" s="53"/>
      <c r="D50" s="53"/>
      <c r="E50" s="53"/>
      <c r="F50" s="53"/>
      <c r="G50" s="53"/>
      <c r="H50" s="53"/>
      <c r="I50" s="54"/>
    </row>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C25:F25"/>
    <mergeCell ref="G25:H25"/>
    <mergeCell ref="C26:F26"/>
    <mergeCell ref="G26:H26"/>
    <mergeCell ref="A31:I32"/>
    <mergeCell ref="A33:I50"/>
    <mergeCell ref="C18:F18"/>
    <mergeCell ref="C22:F22"/>
    <mergeCell ref="G22:H22"/>
    <mergeCell ref="C23:F23"/>
    <mergeCell ref="G23:H23"/>
    <mergeCell ref="C24:F24"/>
    <mergeCell ref="G24:H24"/>
  </mergeCells>
  <hyperlinks>
    <hyperlink r:id="rId1" ref="A5"/>
  </hyperlinks>
  <printOptions/>
  <pageMargins bottom="0.5" footer="0.0" header="0.0" left="0.7" right="0.7" top="0.75"/>
  <pageSetup orientation="portrait"/>
  <headerFooter>
    <oddFooter>&amp;L&amp;F</oddFooter>
  </headerFooter>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6" width="9.13"/>
  </cols>
  <sheetData>
    <row r="1" ht="12.75" customHeight="1">
      <c r="A1" s="127" t="s">
        <v>76</v>
      </c>
      <c r="B1" s="43"/>
      <c r="C1" s="43"/>
      <c r="D1" s="43"/>
      <c r="E1" s="43"/>
      <c r="F1" s="43"/>
      <c r="G1" s="75"/>
      <c r="H1" s="128" t="str">
        <f>'CONTACT INFORMATION'!$A$24</f>
        <v>Amador</v>
      </c>
      <c r="I1" s="43"/>
      <c r="J1" s="44"/>
      <c r="K1" s="180"/>
      <c r="L1" s="117"/>
    </row>
    <row r="2" ht="7.5" customHeight="1">
      <c r="A2" s="129"/>
      <c r="B2" s="129"/>
      <c r="C2" s="129"/>
      <c r="D2" s="129"/>
      <c r="E2" s="129"/>
      <c r="F2" s="129"/>
      <c r="G2" s="129"/>
      <c r="H2" s="129"/>
      <c r="I2" s="129"/>
      <c r="J2" s="129"/>
      <c r="K2" s="117"/>
      <c r="L2" s="117"/>
    </row>
    <row r="3" ht="12.75" customHeight="1">
      <c r="A3" s="181" t="s">
        <v>77</v>
      </c>
      <c r="B3" s="49"/>
      <c r="C3" s="49"/>
      <c r="D3" s="49"/>
      <c r="E3" s="49"/>
      <c r="F3" s="49"/>
      <c r="G3" s="49"/>
      <c r="H3" s="49"/>
      <c r="I3" s="49"/>
      <c r="J3" s="50"/>
    </row>
    <row r="4" ht="12.75" customHeight="1">
      <c r="A4" s="182"/>
      <c r="B4" s="183"/>
      <c r="C4" s="183"/>
      <c r="D4" s="183"/>
      <c r="E4" s="183"/>
      <c r="F4" s="183"/>
      <c r="G4" s="183"/>
      <c r="H4" s="183"/>
      <c r="I4" s="183"/>
      <c r="J4" s="184"/>
    </row>
    <row r="5" ht="15.0" customHeight="1">
      <c r="A5" s="185" t="s">
        <v>78</v>
      </c>
      <c r="B5" s="8"/>
      <c r="C5" s="8"/>
      <c r="D5" s="8"/>
      <c r="E5" s="8"/>
      <c r="F5" s="8"/>
      <c r="G5" s="8"/>
      <c r="H5" s="8"/>
      <c r="I5" s="8"/>
      <c r="J5" s="9"/>
    </row>
    <row r="6" ht="15.0" customHeight="1">
      <c r="A6" s="10"/>
      <c r="J6" s="31"/>
    </row>
    <row r="7" ht="15.0" customHeight="1">
      <c r="A7" s="21"/>
      <c r="B7" s="53"/>
      <c r="C7" s="53"/>
      <c r="D7" s="53"/>
      <c r="E7" s="53"/>
      <c r="F7" s="53"/>
      <c r="G7" s="53"/>
      <c r="H7" s="53"/>
      <c r="I7" s="53"/>
      <c r="J7" s="54"/>
    </row>
    <row r="8" ht="15.0" customHeight="1">
      <c r="A8" s="186" t="s">
        <v>79</v>
      </c>
      <c r="B8" s="8"/>
      <c r="C8" s="8"/>
      <c r="D8" s="8"/>
      <c r="E8" s="8"/>
      <c r="F8" s="8"/>
      <c r="G8" s="8"/>
      <c r="H8" s="8"/>
      <c r="I8" s="8"/>
      <c r="J8" s="9"/>
      <c r="O8" s="158"/>
    </row>
    <row r="9" ht="15.0" customHeight="1">
      <c r="A9" s="10"/>
      <c r="J9" s="31"/>
    </row>
    <row r="10" ht="14.25" customHeight="1">
      <c r="A10" s="10"/>
      <c r="J10" s="31"/>
    </row>
    <row r="11" ht="12.75" customHeight="1">
      <c r="A11" s="10"/>
      <c r="J11" s="31"/>
    </row>
    <row r="12" ht="12.75" customHeight="1">
      <c r="A12" s="10"/>
      <c r="J12" s="31"/>
    </row>
    <row r="13" ht="12.75" customHeight="1">
      <c r="A13" s="10"/>
      <c r="J13" s="31"/>
    </row>
    <row r="14" ht="12.75" customHeight="1">
      <c r="A14" s="10"/>
      <c r="J14" s="31"/>
    </row>
    <row r="15" ht="12.75" customHeight="1">
      <c r="A15" s="10"/>
      <c r="J15" s="31"/>
    </row>
    <row r="16" ht="12.75" customHeight="1">
      <c r="A16" s="10"/>
      <c r="J16" s="31"/>
    </row>
    <row r="17" ht="12.75" customHeight="1">
      <c r="A17" s="10"/>
      <c r="J17" s="31"/>
    </row>
    <row r="18" ht="12.75" customHeight="1">
      <c r="A18" s="10"/>
      <c r="J18" s="31"/>
    </row>
    <row r="19" ht="12.75" customHeight="1">
      <c r="A19" s="10"/>
      <c r="J19" s="31"/>
    </row>
    <row r="20" ht="12.75" customHeight="1">
      <c r="A20" s="10"/>
      <c r="J20" s="31"/>
    </row>
    <row r="21" ht="12.75" customHeight="1">
      <c r="A21" s="10"/>
      <c r="J21" s="31"/>
    </row>
    <row r="22" ht="12.75" customHeight="1">
      <c r="A22" s="10"/>
      <c r="J22" s="31"/>
    </row>
    <row r="23" ht="12.75" customHeight="1">
      <c r="A23" s="10"/>
      <c r="J23" s="31"/>
    </row>
    <row r="24" ht="12.75" customHeight="1">
      <c r="A24" s="10"/>
      <c r="J24" s="31"/>
    </row>
    <row r="25" ht="12.75" customHeight="1">
      <c r="A25" s="10"/>
      <c r="J25" s="31"/>
    </row>
    <row r="26" ht="12.75" customHeight="1">
      <c r="A26" s="10"/>
      <c r="J26" s="31"/>
    </row>
    <row r="27" ht="12.75" customHeight="1">
      <c r="A27" s="10"/>
      <c r="J27" s="31"/>
    </row>
    <row r="28" ht="12.75" customHeight="1">
      <c r="A28" s="10"/>
      <c r="J28" s="31"/>
    </row>
    <row r="29" ht="12.75" customHeight="1">
      <c r="A29" s="10"/>
      <c r="J29" s="31"/>
    </row>
    <row r="30" ht="12.75" customHeight="1">
      <c r="A30" s="10"/>
      <c r="J30" s="31"/>
    </row>
    <row r="31" ht="12.75" customHeight="1">
      <c r="A31" s="10"/>
      <c r="J31" s="31"/>
    </row>
    <row r="32" ht="12.75" customHeight="1">
      <c r="A32" s="10"/>
      <c r="J32" s="31"/>
    </row>
    <row r="33" ht="12.75" customHeight="1">
      <c r="A33" s="10"/>
      <c r="J33" s="31"/>
    </row>
    <row r="34" ht="12.75" customHeight="1">
      <c r="A34" s="10"/>
      <c r="J34" s="31"/>
    </row>
    <row r="35" ht="12.75" customHeight="1">
      <c r="A35" s="10"/>
      <c r="J35" s="31"/>
    </row>
    <row r="36" ht="12.75" customHeight="1">
      <c r="A36" s="10"/>
      <c r="J36" s="31"/>
    </row>
    <row r="37" ht="12.75" customHeight="1">
      <c r="A37" s="10"/>
      <c r="J37" s="31"/>
    </row>
    <row r="38" ht="12.75" customHeight="1">
      <c r="A38" s="10"/>
      <c r="J38" s="31"/>
    </row>
    <row r="39" ht="12.75" customHeight="1">
      <c r="A39" s="10"/>
      <c r="J39" s="31"/>
    </row>
    <row r="40" ht="12.75" customHeight="1">
      <c r="A40" s="10"/>
      <c r="J40" s="31"/>
    </row>
    <row r="41" ht="12.75" customHeight="1">
      <c r="A41" s="10"/>
      <c r="J41" s="31"/>
    </row>
    <row r="42" ht="12.75" customHeight="1">
      <c r="A42" s="10"/>
      <c r="J42" s="31"/>
    </row>
    <row r="43" ht="12.75" customHeight="1">
      <c r="A43" s="10"/>
      <c r="J43" s="31"/>
    </row>
    <row r="44" ht="12.75" customHeight="1">
      <c r="A44" s="10"/>
      <c r="J44" s="31"/>
    </row>
    <row r="45" ht="12.75" customHeight="1">
      <c r="A45" s="10"/>
      <c r="J45" s="31"/>
    </row>
    <row r="46" ht="12.75" customHeight="1">
      <c r="A46" s="10"/>
      <c r="J46" s="31"/>
    </row>
    <row r="47" ht="12.75" customHeight="1">
      <c r="A47" s="10"/>
      <c r="J47" s="31"/>
    </row>
    <row r="48" ht="12.75" customHeight="1">
      <c r="A48" s="10"/>
      <c r="J48" s="31"/>
    </row>
    <row r="49" ht="12.75" customHeight="1">
      <c r="A49" s="10"/>
      <c r="J49" s="31"/>
    </row>
    <row r="50" ht="12.75" customHeight="1">
      <c r="A50" s="10"/>
      <c r="J50" s="31"/>
    </row>
    <row r="51" ht="12.75" customHeight="1">
      <c r="A51" s="10"/>
      <c r="J51" s="31"/>
    </row>
    <row r="52" ht="12.75" customHeight="1">
      <c r="A52" s="10"/>
      <c r="J52" s="31"/>
    </row>
    <row r="53" ht="12.75" customHeight="1">
      <c r="A53" s="10"/>
      <c r="J53" s="31"/>
    </row>
    <row r="54" ht="12.75" customHeight="1">
      <c r="A54" s="10"/>
      <c r="J54" s="31"/>
    </row>
    <row r="55" ht="12.75" customHeight="1">
      <c r="A55" s="10"/>
      <c r="J55" s="31"/>
    </row>
    <row r="56" ht="12.75" customHeight="1">
      <c r="A56" s="21"/>
      <c r="B56" s="53"/>
      <c r="C56" s="53"/>
      <c r="D56" s="53"/>
      <c r="E56" s="53"/>
      <c r="F56" s="53"/>
      <c r="G56" s="53"/>
      <c r="H56" s="53"/>
      <c r="I56" s="53"/>
      <c r="J56" s="54"/>
    </row>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3.5" customHeight="1"/>
    <row r="88" ht="0.75" hidden="1" customHeight="1">
      <c r="A88" s="91"/>
      <c r="J88" s="90"/>
    </row>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bottom="0.5" footer="0.0" header="0.0" left="0.7" right="0.7" top="0.5"/>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0.5"/>
    <col customWidth="1" min="2" max="5" width="8.88"/>
    <col customWidth="1" min="6" max="6" width="8.0"/>
    <col customWidth="1" min="7" max="9" width="8.88"/>
    <col customWidth="1" min="10" max="10" width="9.0"/>
    <col customWidth="1" min="11" max="12" width="8.88"/>
    <col customWidth="1" min="13" max="13" width="9.13"/>
    <col customWidth="1" min="14" max="26" width="8.88"/>
  </cols>
  <sheetData>
    <row r="1" ht="15.75" customHeight="1">
      <c r="A1" s="127" t="s">
        <v>80</v>
      </c>
      <c r="B1" s="43"/>
      <c r="C1" s="43"/>
      <c r="D1" s="43"/>
      <c r="E1" s="43"/>
      <c r="F1" s="43"/>
      <c r="G1" s="75"/>
      <c r="H1" s="128" t="str">
        <f>'CONTACT INFORMATION'!$A$24</f>
        <v>Amador</v>
      </c>
      <c r="I1" s="43"/>
      <c r="J1" s="44"/>
    </row>
    <row r="2" ht="9.0" customHeight="1"/>
    <row r="3" ht="12.0" customHeight="1">
      <c r="A3" s="187" t="s">
        <v>81</v>
      </c>
    </row>
    <row r="4" ht="13.5" customHeight="1"/>
    <row r="5" ht="13.5" customHeight="1"/>
    <row r="6" ht="13.5" customHeight="1"/>
    <row r="7" ht="9.0" customHeight="1"/>
    <row r="8" ht="10.5" customHeight="1"/>
    <row r="9" ht="13.5" customHeight="1">
      <c r="A9" s="68" t="s">
        <v>82</v>
      </c>
    </row>
    <row r="10" ht="13.5" customHeight="1"/>
    <row r="11" ht="13.5" customHeight="1"/>
    <row r="12" ht="12.75" customHeight="1">
      <c r="A12" s="68"/>
      <c r="B12" s="68"/>
      <c r="C12" s="68"/>
      <c r="D12" s="68"/>
      <c r="E12" s="68"/>
      <c r="F12" s="68"/>
      <c r="G12" s="68"/>
      <c r="H12" s="68"/>
      <c r="I12" s="68"/>
      <c r="J12" s="68"/>
    </row>
    <row r="13" ht="12.75" customHeight="1">
      <c r="A13" s="188" t="s">
        <v>83</v>
      </c>
    </row>
    <row r="14" ht="18.0" customHeight="1">
      <c r="A14" s="189"/>
      <c r="B14" s="190" t="s">
        <v>84</v>
      </c>
      <c r="C14" s="191" t="s">
        <v>85</v>
      </c>
      <c r="D14" s="192"/>
      <c r="E14" s="192"/>
      <c r="F14" s="193"/>
      <c r="G14" s="190" t="s">
        <v>84</v>
      </c>
      <c r="H14" s="191" t="s">
        <v>85</v>
      </c>
      <c r="I14" s="192"/>
      <c r="J14" s="192"/>
    </row>
    <row r="15" ht="12.0" customHeight="1">
      <c r="A15" s="194" t="s">
        <v>86</v>
      </c>
      <c r="B15" s="195">
        <v>1.0</v>
      </c>
      <c r="C15" s="196" t="s">
        <v>87</v>
      </c>
      <c r="F15" s="196"/>
      <c r="G15" s="195">
        <v>5.0</v>
      </c>
      <c r="H15" s="196" t="s">
        <v>88</v>
      </c>
      <c r="I15" s="196"/>
      <c r="J15" s="196"/>
    </row>
    <row r="16" ht="12.0" customHeight="1">
      <c r="A16" s="196"/>
      <c r="B16" s="195">
        <v>2.0</v>
      </c>
      <c r="C16" s="196" t="s">
        <v>89</v>
      </c>
      <c r="F16" s="196"/>
      <c r="G16" s="195">
        <v>6.0</v>
      </c>
      <c r="H16" s="196" t="s">
        <v>90</v>
      </c>
      <c r="I16" s="196"/>
      <c r="J16" s="196"/>
    </row>
    <row r="17" ht="12.0" customHeight="1">
      <c r="A17" s="196"/>
      <c r="B17" s="195">
        <v>3.0</v>
      </c>
      <c r="C17" s="196" t="s">
        <v>91</v>
      </c>
      <c r="F17" s="196"/>
      <c r="G17" s="195">
        <v>7.0</v>
      </c>
      <c r="H17" s="196" t="s">
        <v>92</v>
      </c>
      <c r="I17" s="196"/>
      <c r="J17" s="196"/>
    </row>
    <row r="18" ht="12.0" customHeight="1">
      <c r="A18" s="196"/>
      <c r="B18" s="195">
        <v>4.0</v>
      </c>
      <c r="C18" s="196" t="s">
        <v>93</v>
      </c>
      <c r="F18" s="196"/>
      <c r="G18" s="196"/>
      <c r="H18" s="196"/>
      <c r="I18" s="196"/>
      <c r="J18" s="196"/>
    </row>
    <row r="19" ht="10.5" customHeight="1">
      <c r="A19" s="196"/>
      <c r="B19" s="195"/>
      <c r="C19" s="196"/>
      <c r="F19" s="196"/>
      <c r="G19" s="196"/>
      <c r="H19" s="196"/>
      <c r="I19" s="196"/>
      <c r="J19" s="196"/>
    </row>
    <row r="20" ht="12.0" customHeight="1">
      <c r="A20" s="189"/>
      <c r="B20" s="190" t="s">
        <v>84</v>
      </c>
      <c r="C20" s="191" t="s">
        <v>85</v>
      </c>
      <c r="D20" s="192"/>
      <c r="E20" s="192"/>
      <c r="F20" s="193"/>
      <c r="G20" s="190" t="s">
        <v>84</v>
      </c>
      <c r="H20" s="191" t="s">
        <v>85</v>
      </c>
      <c r="I20" s="192"/>
      <c r="J20" s="192"/>
    </row>
    <row r="21" ht="12.0" customHeight="1">
      <c r="A21" s="194" t="s">
        <v>94</v>
      </c>
      <c r="B21" s="195">
        <v>8.0</v>
      </c>
      <c r="C21" s="196" t="s">
        <v>95</v>
      </c>
      <c r="F21" s="196"/>
      <c r="G21" s="195">
        <v>26.0</v>
      </c>
      <c r="H21" s="196" t="s">
        <v>96</v>
      </c>
      <c r="I21" s="196"/>
      <c r="J21" s="196"/>
    </row>
    <row r="22" ht="12.0" customHeight="1">
      <c r="A22" s="194" t="s">
        <v>97</v>
      </c>
      <c r="B22" s="195">
        <v>9.0</v>
      </c>
      <c r="C22" s="196" t="s">
        <v>98</v>
      </c>
      <c r="F22" s="196"/>
      <c r="G22" s="195"/>
      <c r="H22" s="196" t="s">
        <v>99</v>
      </c>
      <c r="I22" s="196"/>
      <c r="J22" s="196"/>
    </row>
    <row r="23" ht="12.0" customHeight="1">
      <c r="B23" s="195">
        <v>10.0</v>
      </c>
      <c r="C23" s="196" t="s">
        <v>100</v>
      </c>
      <c r="F23" s="196"/>
      <c r="G23" s="195">
        <v>27.0</v>
      </c>
      <c r="H23" s="196" t="s">
        <v>101</v>
      </c>
      <c r="I23" s="196"/>
      <c r="J23" s="196"/>
    </row>
    <row r="24" ht="12.0" customHeight="1">
      <c r="A24" s="196"/>
      <c r="B24" s="195">
        <v>11.0</v>
      </c>
      <c r="C24" s="196" t="s">
        <v>102</v>
      </c>
      <c r="F24" s="196"/>
      <c r="G24" s="195">
        <v>28.0</v>
      </c>
      <c r="H24" s="196" t="s">
        <v>103</v>
      </c>
      <c r="I24" s="196"/>
      <c r="J24" s="196"/>
    </row>
    <row r="25" ht="12.0" customHeight="1">
      <c r="A25" s="196"/>
      <c r="B25" s="195">
        <v>12.0</v>
      </c>
      <c r="C25" s="196" t="s">
        <v>104</v>
      </c>
      <c r="F25" s="196"/>
      <c r="G25" s="195">
        <v>29.0</v>
      </c>
      <c r="H25" s="196" t="s">
        <v>105</v>
      </c>
      <c r="I25" s="196"/>
      <c r="J25" s="196"/>
    </row>
    <row r="26" ht="12.0" customHeight="1">
      <c r="A26" s="196"/>
      <c r="B26" s="195">
        <v>13.0</v>
      </c>
      <c r="C26" s="196" t="s">
        <v>106</v>
      </c>
      <c r="F26" s="196"/>
      <c r="G26" s="195">
        <v>30.0</v>
      </c>
      <c r="H26" s="196" t="s">
        <v>107</v>
      </c>
      <c r="I26" s="196"/>
      <c r="J26" s="196"/>
    </row>
    <row r="27" ht="12.0" customHeight="1">
      <c r="A27" s="196"/>
      <c r="B27" s="195">
        <v>14.0</v>
      </c>
      <c r="C27" s="196" t="s">
        <v>108</v>
      </c>
      <c r="F27" s="196"/>
      <c r="G27" s="195">
        <v>31.0</v>
      </c>
      <c r="H27" s="196" t="s">
        <v>109</v>
      </c>
      <c r="I27" s="196"/>
      <c r="J27" s="196"/>
    </row>
    <row r="28" ht="12.0" customHeight="1">
      <c r="A28" s="196"/>
      <c r="B28" s="195">
        <v>15.0</v>
      </c>
      <c r="C28" s="196" t="s">
        <v>110</v>
      </c>
      <c r="F28" s="196"/>
      <c r="G28" s="195">
        <v>32.0</v>
      </c>
      <c r="H28" s="196" t="s">
        <v>111</v>
      </c>
      <c r="I28" s="196"/>
      <c r="J28" s="196"/>
    </row>
    <row r="29" ht="12.0" customHeight="1">
      <c r="A29" s="196"/>
      <c r="B29" s="195">
        <v>16.0</v>
      </c>
      <c r="C29" s="196" t="s">
        <v>112</v>
      </c>
      <c r="F29" s="196"/>
      <c r="G29" s="195">
        <v>33.0</v>
      </c>
      <c r="H29" s="196" t="s">
        <v>113</v>
      </c>
      <c r="I29" s="196"/>
      <c r="J29" s="196"/>
    </row>
    <row r="30" ht="12.0" customHeight="1">
      <c r="A30" s="196"/>
      <c r="B30" s="195">
        <v>17.0</v>
      </c>
      <c r="C30" s="196" t="s">
        <v>114</v>
      </c>
      <c r="F30" s="196"/>
      <c r="G30" s="195">
        <v>34.0</v>
      </c>
      <c r="H30" s="196" t="s">
        <v>115</v>
      </c>
      <c r="I30" s="196"/>
      <c r="J30" s="196"/>
    </row>
    <row r="31" ht="12.0" customHeight="1">
      <c r="A31" s="196"/>
      <c r="B31" s="195">
        <v>18.0</v>
      </c>
      <c r="C31" s="196" t="s">
        <v>116</v>
      </c>
      <c r="F31" s="196"/>
      <c r="G31" s="195">
        <v>35.0</v>
      </c>
      <c r="H31" s="196" t="s">
        <v>117</v>
      </c>
      <c r="I31" s="196"/>
      <c r="J31" s="196"/>
    </row>
    <row r="32" ht="12.0" customHeight="1">
      <c r="A32" s="196"/>
      <c r="B32" s="195">
        <v>19.0</v>
      </c>
      <c r="C32" s="196" t="s">
        <v>118</v>
      </c>
      <c r="F32" s="196"/>
      <c r="G32" s="195">
        <v>36.0</v>
      </c>
      <c r="H32" s="196" t="s">
        <v>119</v>
      </c>
      <c r="I32" s="196"/>
      <c r="J32" s="196"/>
    </row>
    <row r="33" ht="12.0" customHeight="1">
      <c r="A33" s="196"/>
      <c r="B33" s="195">
        <v>20.0</v>
      </c>
      <c r="C33" s="196" t="s">
        <v>120</v>
      </c>
      <c r="F33" s="196"/>
      <c r="G33" s="195">
        <v>37.0</v>
      </c>
      <c r="H33" s="196" t="s">
        <v>121</v>
      </c>
      <c r="I33" s="196"/>
      <c r="J33" s="196"/>
    </row>
    <row r="34" ht="12.0" customHeight="1">
      <c r="A34" s="196"/>
      <c r="B34" s="195">
        <v>21.0</v>
      </c>
      <c r="C34" s="196" t="s">
        <v>122</v>
      </c>
      <c r="F34" s="196"/>
      <c r="G34" s="195">
        <v>38.0</v>
      </c>
      <c r="H34" s="196" t="s">
        <v>123</v>
      </c>
      <c r="I34" s="196"/>
      <c r="J34" s="196"/>
    </row>
    <row r="35" ht="12.0" customHeight="1">
      <c r="A35" s="196"/>
      <c r="B35" s="195">
        <v>22.0</v>
      </c>
      <c r="C35" s="196" t="s">
        <v>124</v>
      </c>
      <c r="F35" s="196"/>
      <c r="G35" s="195">
        <v>39.0</v>
      </c>
      <c r="H35" s="196" t="s">
        <v>125</v>
      </c>
      <c r="I35" s="196"/>
      <c r="J35" s="196"/>
    </row>
    <row r="36" ht="12.0" customHeight="1">
      <c r="A36" s="196"/>
      <c r="B36" s="195">
        <v>23.0</v>
      </c>
      <c r="C36" s="196" t="s">
        <v>126</v>
      </c>
      <c r="F36" s="196"/>
      <c r="G36" s="195">
        <v>40.0</v>
      </c>
      <c r="H36" s="196" t="s">
        <v>127</v>
      </c>
      <c r="I36" s="196"/>
      <c r="J36" s="196"/>
    </row>
    <row r="37" ht="12.0" customHeight="1">
      <c r="A37" s="196"/>
      <c r="B37" s="195">
        <v>24.0</v>
      </c>
      <c r="C37" s="196" t="s">
        <v>128</v>
      </c>
      <c r="F37" s="196"/>
      <c r="G37" s="195">
        <v>41.0</v>
      </c>
      <c r="H37" s="196" t="s">
        <v>129</v>
      </c>
      <c r="I37" s="196"/>
      <c r="J37" s="196"/>
    </row>
    <row r="38" ht="12.0" customHeight="1">
      <c r="A38" s="196"/>
      <c r="B38" s="195">
        <v>25.0</v>
      </c>
      <c r="C38" s="196" t="s">
        <v>130</v>
      </c>
      <c r="F38" s="196"/>
      <c r="G38" s="195">
        <v>42.0</v>
      </c>
      <c r="H38" s="196" t="s">
        <v>131</v>
      </c>
      <c r="I38" s="196"/>
      <c r="J38" s="196"/>
    </row>
    <row r="39" ht="12.0" customHeight="1">
      <c r="A39" s="196"/>
      <c r="B39" s="195"/>
      <c r="C39" s="196"/>
      <c r="F39" s="196"/>
      <c r="G39" s="195">
        <v>43.0</v>
      </c>
      <c r="H39" s="196" t="s">
        <v>132</v>
      </c>
      <c r="I39" s="196"/>
      <c r="J39" s="196"/>
    </row>
    <row r="40" ht="12.0" customHeight="1">
      <c r="A40" s="196"/>
      <c r="B40" s="195"/>
      <c r="C40" s="196"/>
      <c r="F40" s="196"/>
      <c r="G40" s="195"/>
      <c r="H40" s="196"/>
      <c r="I40" s="196"/>
      <c r="J40" s="196"/>
    </row>
    <row r="41" ht="12.0" customHeight="1">
      <c r="A41" s="189"/>
      <c r="B41" s="190" t="s">
        <v>84</v>
      </c>
      <c r="C41" s="191" t="s">
        <v>85</v>
      </c>
      <c r="D41" s="192"/>
      <c r="E41" s="192"/>
      <c r="F41" s="193"/>
      <c r="G41" s="190" t="s">
        <v>84</v>
      </c>
      <c r="H41" s="191" t="s">
        <v>85</v>
      </c>
      <c r="I41" s="192"/>
      <c r="J41" s="192"/>
    </row>
    <row r="42" ht="12.0" customHeight="1">
      <c r="A42" s="194" t="s">
        <v>133</v>
      </c>
      <c r="B42" s="195">
        <v>44.0</v>
      </c>
      <c r="C42" s="196" t="s">
        <v>134</v>
      </c>
      <c r="F42" s="196"/>
      <c r="G42" s="195">
        <v>48.0</v>
      </c>
      <c r="H42" s="196" t="s">
        <v>135</v>
      </c>
      <c r="I42" s="196"/>
      <c r="J42" s="196"/>
    </row>
    <row r="43" ht="12.0" customHeight="1">
      <c r="A43" s="194" t="s">
        <v>136</v>
      </c>
      <c r="B43" s="195">
        <v>45.0</v>
      </c>
      <c r="C43" s="196" t="s">
        <v>137</v>
      </c>
      <c r="F43" s="196"/>
      <c r="G43" s="195">
        <v>49.0</v>
      </c>
      <c r="H43" s="196" t="s">
        <v>138</v>
      </c>
      <c r="I43" s="196"/>
      <c r="J43" s="196"/>
    </row>
    <row r="44" ht="12.0" customHeight="1">
      <c r="A44" s="194" t="s">
        <v>139</v>
      </c>
      <c r="B44" s="195">
        <v>46.0</v>
      </c>
      <c r="C44" s="196" t="s">
        <v>140</v>
      </c>
      <c r="F44" s="196"/>
      <c r="G44" s="195">
        <v>50.0</v>
      </c>
      <c r="H44" s="196" t="s">
        <v>141</v>
      </c>
      <c r="I44" s="196"/>
      <c r="J44" s="196"/>
    </row>
    <row r="45" ht="12.0" customHeight="1">
      <c r="A45" s="194" t="s">
        <v>142</v>
      </c>
      <c r="B45" s="195">
        <v>47.0</v>
      </c>
      <c r="C45" s="196" t="s">
        <v>143</v>
      </c>
      <c r="F45" s="196"/>
      <c r="G45" s="195"/>
      <c r="H45" s="196"/>
      <c r="I45" s="196"/>
      <c r="J45" s="196"/>
    </row>
    <row r="46" ht="12.75" customHeight="1">
      <c r="A46" s="196"/>
      <c r="B46" s="196"/>
      <c r="C46" s="196"/>
      <c r="F46" s="196"/>
      <c r="G46" s="196"/>
      <c r="H46" s="196"/>
      <c r="I46" s="196"/>
      <c r="J46" s="196"/>
    </row>
    <row r="47" ht="12.75" customHeight="1">
      <c r="A47" s="68" t="s">
        <v>144</v>
      </c>
    </row>
    <row r="48" ht="12.75" customHeight="1"/>
    <row r="49" ht="12.75" customHeight="1"/>
    <row r="50" ht="12.75" customHeight="1"/>
    <row r="51" ht="12.75" customHeight="1"/>
    <row r="52" ht="12.75" hidden="1" customHeight="1"/>
    <row r="53" ht="12.75" hidden="1" customHeight="1"/>
    <row r="54" ht="12.75" hidden="1" customHeight="1"/>
    <row r="55" ht="12.75" hidden="1" customHeight="1"/>
    <row r="56" ht="31.5" customHeight="1"/>
    <row r="57" ht="12.75" customHeight="1">
      <c r="A57" s="68"/>
    </row>
    <row r="58" ht="12.75" customHeight="1"/>
    <row r="59" ht="12.75" customHeight="1">
      <c r="A59" s="68"/>
      <c r="B59" s="68"/>
      <c r="C59" s="68"/>
      <c r="D59" s="68"/>
      <c r="E59" s="68"/>
      <c r="F59" s="68"/>
      <c r="G59" s="68"/>
      <c r="H59" s="68"/>
      <c r="I59" s="68"/>
      <c r="J59" s="68"/>
      <c r="K59" s="68"/>
    </row>
    <row r="60" ht="12.75" customHeight="1">
      <c r="A60" s="68"/>
      <c r="B60" s="68"/>
      <c r="C60" s="68"/>
      <c r="D60" s="68"/>
      <c r="E60" s="68"/>
      <c r="F60" s="68"/>
      <c r="G60" s="68"/>
      <c r="H60" s="68"/>
      <c r="I60" s="68"/>
      <c r="J60" s="68"/>
    </row>
    <row r="61" ht="12.75" customHeight="1">
      <c r="A61" s="68"/>
      <c r="B61" s="68"/>
      <c r="C61" s="68"/>
      <c r="D61" s="68"/>
      <c r="E61" s="68"/>
      <c r="F61" s="68"/>
      <c r="G61" s="68"/>
      <c r="H61" s="68"/>
      <c r="I61" s="68"/>
      <c r="J61" s="68"/>
    </row>
    <row r="62" ht="12.75" customHeight="1">
      <c r="A62" s="68"/>
      <c r="B62" s="68"/>
      <c r="C62" s="68"/>
      <c r="D62" s="68"/>
      <c r="E62" s="68"/>
      <c r="F62" s="68"/>
      <c r="G62" s="68"/>
      <c r="H62" s="68"/>
      <c r="I62" s="68"/>
      <c r="J62" s="68"/>
    </row>
    <row r="63" ht="12.75" customHeight="1">
      <c r="A63" s="68"/>
      <c r="B63" s="68"/>
      <c r="C63" s="68"/>
      <c r="D63" s="68"/>
      <c r="E63" s="68"/>
      <c r="F63" s="68"/>
      <c r="G63" s="68"/>
      <c r="H63" s="68"/>
      <c r="I63" s="68"/>
      <c r="J63" s="68"/>
    </row>
    <row r="64" ht="12.75" customHeight="1">
      <c r="I64" s="197"/>
    </row>
    <row r="65" ht="15.75" customHeight="1">
      <c r="A65" s="127" t="s">
        <v>80</v>
      </c>
      <c r="B65" s="43"/>
      <c r="C65" s="43"/>
      <c r="D65" s="43"/>
      <c r="E65" s="43"/>
      <c r="F65" s="43"/>
      <c r="G65" s="75"/>
      <c r="H65" s="128" t="str">
        <f>'CONTACT INFORMATION'!$A$24</f>
        <v>Amador</v>
      </c>
      <c r="I65" s="43"/>
      <c r="J65" s="44"/>
    </row>
    <row r="66" ht="12.0" customHeight="1">
      <c r="A66" s="198"/>
      <c r="B66" s="198"/>
      <c r="C66" s="198"/>
      <c r="D66" s="198"/>
      <c r="E66" s="198"/>
      <c r="F66" s="198"/>
      <c r="G66" s="198"/>
      <c r="H66" s="198"/>
      <c r="I66" s="198"/>
      <c r="J66" s="198"/>
    </row>
    <row r="67" ht="12.75" customHeight="1">
      <c r="B67" s="199" t="s">
        <v>145</v>
      </c>
      <c r="J67" s="200"/>
    </row>
    <row r="68" ht="12.75" customHeight="1">
      <c r="A68" s="200"/>
      <c r="J68" s="200"/>
    </row>
    <row r="69" ht="12.75" customHeight="1">
      <c r="A69" s="200"/>
      <c r="J69" s="200"/>
    </row>
    <row r="70" ht="12.75" customHeight="1">
      <c r="A70" s="200"/>
      <c r="B70" s="199"/>
      <c r="C70" s="199"/>
      <c r="D70" s="199"/>
      <c r="E70" s="199"/>
      <c r="F70" s="199"/>
      <c r="G70" s="199"/>
      <c r="H70" s="199"/>
      <c r="I70" s="199"/>
      <c r="J70" s="199"/>
    </row>
    <row r="71" ht="12.75" customHeight="1">
      <c r="A71" s="200"/>
      <c r="B71" s="199" t="s">
        <v>146</v>
      </c>
      <c r="J71" s="200"/>
    </row>
    <row r="72" ht="12.75" customHeight="1">
      <c r="A72" s="200"/>
      <c r="J72" s="200"/>
    </row>
    <row r="73" ht="12.75" customHeight="1">
      <c r="A73" s="200"/>
      <c r="J73" s="200"/>
    </row>
    <row r="74" ht="12.75" customHeight="1">
      <c r="A74" s="200"/>
      <c r="J74" s="200"/>
    </row>
    <row r="75" ht="12.75" customHeight="1">
      <c r="A75" s="200"/>
      <c r="J75" s="199"/>
    </row>
    <row r="76" ht="12.75" customHeight="1">
      <c r="A76" s="200"/>
      <c r="B76" s="199"/>
      <c r="C76" s="199"/>
      <c r="D76" s="199"/>
      <c r="E76" s="199"/>
      <c r="F76" s="199"/>
      <c r="G76" s="199"/>
      <c r="H76" s="199"/>
      <c r="I76" s="199"/>
      <c r="J76" s="199"/>
    </row>
    <row r="77" ht="12.75" customHeight="1">
      <c r="B77" s="199" t="s">
        <v>147</v>
      </c>
      <c r="J77" s="200"/>
    </row>
    <row r="78" ht="12.75" customHeight="1">
      <c r="J78" s="200"/>
    </row>
    <row r="79" ht="12.75" customHeight="1">
      <c r="J79" s="199"/>
    </row>
    <row r="80" ht="12.75" customHeight="1">
      <c r="B80" s="199"/>
      <c r="C80" s="199"/>
      <c r="D80" s="199"/>
      <c r="E80" s="199"/>
      <c r="F80" s="199"/>
      <c r="G80" s="199"/>
      <c r="H80" s="199"/>
      <c r="I80" s="199"/>
      <c r="J80" s="199"/>
    </row>
    <row r="81" ht="12.75" customHeight="1">
      <c r="B81" s="201" t="s">
        <v>148</v>
      </c>
      <c r="J81" s="200"/>
    </row>
    <row r="82" ht="12.75" customHeight="1">
      <c r="J82" s="200"/>
    </row>
    <row r="83" ht="12.75" customHeight="1">
      <c r="J83" s="200"/>
    </row>
    <row r="84" ht="12.75" customHeight="1">
      <c r="J84" s="199"/>
    </row>
    <row r="85" ht="12.75" customHeight="1">
      <c r="B85" s="199"/>
      <c r="C85" s="199"/>
      <c r="D85" s="199"/>
      <c r="E85" s="199"/>
      <c r="F85" s="199"/>
      <c r="G85" s="199"/>
      <c r="H85" s="199"/>
      <c r="I85" s="199"/>
      <c r="J85" s="199"/>
    </row>
    <row r="86" ht="12.75" customHeight="1">
      <c r="B86" s="199" t="s">
        <v>149</v>
      </c>
      <c r="J86" s="198"/>
    </row>
    <row r="87" ht="12.75" customHeight="1">
      <c r="J87" s="198"/>
    </row>
    <row r="88" ht="12.75" customHeight="1">
      <c r="J88" s="198"/>
    </row>
    <row r="89" ht="12.75" customHeight="1">
      <c r="B89" s="68"/>
      <c r="C89" s="68"/>
      <c r="D89" s="68"/>
      <c r="E89" s="68"/>
      <c r="F89" s="68"/>
      <c r="G89" s="68"/>
      <c r="H89" s="68"/>
      <c r="I89" s="68"/>
      <c r="J89" s="68"/>
    </row>
    <row r="90" ht="12.75" customHeight="1">
      <c r="B90" s="199" t="s">
        <v>150</v>
      </c>
      <c r="J90" s="198"/>
    </row>
    <row r="91" ht="24.75" customHeight="1">
      <c r="J91" s="198"/>
    </row>
    <row r="92" ht="9.0" customHeight="1"/>
    <row r="93" ht="4.5" customHeight="1"/>
    <row r="94" ht="12.75" customHeight="1">
      <c r="A94" s="202" t="s">
        <v>151</v>
      </c>
    </row>
    <row r="95" ht="12.75" customHeight="1"/>
    <row r="96" ht="12.75" customHeight="1"/>
    <row r="97" ht="12.75" hidden="1" customHeight="1"/>
    <row r="98" ht="12.75" hidden="1" customHeight="1"/>
    <row r="99" ht="12.75" hidden="1" customHeight="1"/>
    <row r="100" ht="12.75" hidden="1" customHeight="1"/>
    <row r="101" ht="4.5" customHeight="1"/>
    <row r="102" ht="7.5" customHeight="1">
      <c r="A102" s="198"/>
      <c r="B102" s="198"/>
      <c r="C102" s="198"/>
      <c r="D102" s="198"/>
      <c r="E102" s="198"/>
      <c r="F102" s="198"/>
      <c r="G102" s="198"/>
      <c r="H102" s="198"/>
      <c r="I102" s="198"/>
      <c r="J102" s="198"/>
    </row>
    <row r="103" ht="12.75" customHeight="1">
      <c r="A103" s="202" t="s">
        <v>152</v>
      </c>
    </row>
    <row r="104" ht="12.75" customHeight="1"/>
    <row r="105" ht="12.75" customHeight="1"/>
    <row r="106" ht="12.75" customHeight="1">
      <c r="A106" s="198"/>
      <c r="B106" s="198"/>
      <c r="C106" s="198"/>
      <c r="D106" s="198"/>
      <c r="E106" s="198"/>
      <c r="F106" s="198"/>
      <c r="G106" s="198"/>
      <c r="H106" s="198"/>
      <c r="I106" s="198"/>
      <c r="J106" s="198"/>
    </row>
    <row r="107" ht="20.25" customHeight="1">
      <c r="A107" s="68" t="s">
        <v>153</v>
      </c>
    </row>
    <row r="108" ht="12.75" customHeight="1">
      <c r="A108" s="198"/>
      <c r="B108" s="198"/>
      <c r="C108" s="198"/>
      <c r="D108" s="198"/>
      <c r="E108" s="198"/>
      <c r="F108" s="198"/>
      <c r="G108" s="198"/>
      <c r="H108" s="198"/>
      <c r="I108" s="198"/>
      <c r="J108" s="198"/>
    </row>
    <row r="109" ht="12.75" customHeight="1">
      <c r="A109" s="198"/>
      <c r="B109" s="198"/>
      <c r="C109" s="198"/>
      <c r="D109" s="198"/>
      <c r="E109" s="198"/>
      <c r="F109" s="198"/>
      <c r="G109" s="198"/>
      <c r="H109" s="198"/>
      <c r="I109" s="198"/>
      <c r="J109" s="198"/>
    </row>
    <row r="110" ht="12.75" customHeight="1">
      <c r="A110" s="198"/>
      <c r="B110" s="198"/>
      <c r="C110" s="198"/>
      <c r="D110" s="198"/>
      <c r="E110" s="198"/>
      <c r="F110" s="198"/>
      <c r="G110" s="198"/>
      <c r="H110" s="198"/>
      <c r="I110" s="198"/>
      <c r="J110" s="198"/>
    </row>
    <row r="111" ht="12.75" customHeight="1">
      <c r="A111" s="198"/>
      <c r="B111" s="198"/>
      <c r="C111" s="198"/>
      <c r="D111" s="198"/>
      <c r="E111" s="198"/>
      <c r="F111" s="198"/>
      <c r="G111" s="198"/>
      <c r="H111" s="198"/>
      <c r="I111" s="198"/>
      <c r="J111" s="198"/>
    </row>
    <row r="112" ht="12.75" customHeight="1">
      <c r="A112" s="198"/>
      <c r="B112" s="198"/>
      <c r="C112" s="198"/>
      <c r="D112" s="198"/>
      <c r="E112" s="198"/>
      <c r="F112" s="198"/>
      <c r="G112" s="198"/>
      <c r="H112" s="198"/>
      <c r="I112" s="198"/>
      <c r="J112" s="198"/>
    </row>
    <row r="113" ht="12.75" customHeight="1">
      <c r="A113" s="198"/>
      <c r="B113" s="198"/>
      <c r="C113" s="198"/>
      <c r="D113" s="198"/>
      <c r="E113" s="198"/>
      <c r="F113" s="198"/>
      <c r="G113" s="198"/>
      <c r="H113" s="198"/>
      <c r="I113" s="198"/>
      <c r="J113" s="198"/>
    </row>
    <row r="114" ht="12.75" customHeight="1">
      <c r="A114" s="198"/>
      <c r="B114" s="198"/>
      <c r="C114" s="198"/>
      <c r="D114" s="198"/>
      <c r="E114" s="198"/>
      <c r="F114" s="198"/>
      <c r="G114" s="198"/>
      <c r="H114" s="198"/>
      <c r="I114" s="198"/>
      <c r="J114" s="198"/>
    </row>
    <row r="115" ht="12.75" customHeight="1">
      <c r="A115" s="198"/>
      <c r="B115" s="198"/>
      <c r="C115" s="198"/>
      <c r="D115" s="198"/>
      <c r="E115" s="198"/>
      <c r="F115" s="198"/>
      <c r="G115" s="198"/>
      <c r="H115" s="198"/>
      <c r="I115" s="198"/>
      <c r="J115" s="198"/>
    </row>
    <row r="116" ht="12.75" customHeight="1">
      <c r="A116" s="198"/>
      <c r="B116" s="198"/>
      <c r="C116" s="198"/>
      <c r="D116" s="198"/>
      <c r="E116" s="198"/>
      <c r="F116" s="198"/>
      <c r="G116" s="198"/>
      <c r="H116" s="198"/>
      <c r="I116" s="198"/>
      <c r="J116" s="198"/>
    </row>
    <row r="117" ht="12.75" customHeight="1">
      <c r="A117" s="198"/>
      <c r="B117" s="198"/>
      <c r="C117" s="198"/>
      <c r="D117" s="198"/>
      <c r="E117" s="198"/>
      <c r="F117" s="198"/>
      <c r="G117" s="198"/>
      <c r="H117" s="198"/>
      <c r="I117" s="198"/>
      <c r="J117" s="198"/>
    </row>
    <row r="118" ht="12.75" customHeight="1">
      <c r="A118" s="198"/>
      <c r="B118" s="198"/>
      <c r="C118" s="198"/>
      <c r="D118" s="198"/>
      <c r="E118" s="198"/>
      <c r="F118" s="198"/>
      <c r="G118" s="198"/>
      <c r="H118" s="198"/>
      <c r="I118" s="198"/>
      <c r="J118" s="198"/>
    </row>
    <row r="119" ht="12.75" customHeight="1">
      <c r="A119" s="198"/>
      <c r="B119" s="198"/>
      <c r="C119" s="198"/>
      <c r="D119" s="198"/>
      <c r="E119" s="198"/>
      <c r="F119" s="198"/>
      <c r="G119" s="198"/>
      <c r="H119" s="198"/>
      <c r="I119" s="198"/>
      <c r="J119" s="198"/>
    </row>
    <row r="120" ht="12.75" customHeight="1">
      <c r="A120" s="198"/>
      <c r="B120" s="198"/>
      <c r="C120" s="198"/>
      <c r="D120" s="198"/>
      <c r="E120" s="198"/>
      <c r="F120" s="198"/>
      <c r="G120" s="198"/>
      <c r="H120" s="198"/>
      <c r="I120" s="198"/>
      <c r="J120" s="198"/>
    </row>
    <row r="121" ht="12.75" customHeight="1">
      <c r="A121" s="198"/>
      <c r="B121" s="198"/>
      <c r="C121" s="198"/>
      <c r="D121" s="198"/>
      <c r="E121" s="198"/>
      <c r="F121" s="198"/>
      <c r="G121" s="198"/>
      <c r="H121" s="198"/>
      <c r="I121" s="198"/>
      <c r="J121" s="198"/>
    </row>
    <row r="122" ht="12.75" customHeight="1">
      <c r="A122" s="198"/>
      <c r="B122" s="198"/>
      <c r="C122" s="198"/>
      <c r="D122" s="198"/>
      <c r="E122" s="198"/>
      <c r="F122" s="198"/>
      <c r="G122" s="198"/>
      <c r="H122" s="198"/>
      <c r="I122" s="198"/>
      <c r="J122" s="198"/>
    </row>
    <row r="123" ht="12.75" customHeight="1">
      <c r="A123" s="198"/>
      <c r="B123" s="198"/>
      <c r="C123" s="198"/>
      <c r="D123" s="198"/>
      <c r="E123" s="198"/>
      <c r="F123" s="198"/>
      <c r="G123" s="198"/>
      <c r="H123" s="198"/>
      <c r="I123" s="198"/>
      <c r="J123" s="198"/>
    </row>
    <row r="124" ht="12.75" customHeight="1">
      <c r="A124" s="198"/>
      <c r="B124" s="198"/>
      <c r="C124" s="198"/>
      <c r="D124" s="198"/>
      <c r="E124" s="198"/>
      <c r="F124" s="198"/>
      <c r="G124" s="198"/>
      <c r="H124" s="198"/>
      <c r="I124" s="198"/>
      <c r="J124" s="198"/>
    </row>
    <row r="125" ht="12.75" customHeight="1">
      <c r="A125" s="127" t="s">
        <v>80</v>
      </c>
      <c r="B125" s="43"/>
      <c r="C125" s="43"/>
      <c r="D125" s="43"/>
      <c r="E125" s="43"/>
      <c r="F125" s="43"/>
      <c r="G125" s="75"/>
      <c r="H125" s="128" t="str">
        <f>'CONTACT INFORMATION'!$A$24</f>
        <v>Amador</v>
      </c>
      <c r="I125" s="43"/>
      <c r="J125" s="44"/>
      <c r="K125" s="117"/>
      <c r="L125" s="117"/>
    </row>
    <row r="126" ht="8.25" customHeight="1">
      <c r="A126" s="129"/>
      <c r="B126" s="129"/>
      <c r="C126" s="129"/>
      <c r="D126" s="129"/>
      <c r="E126" s="129"/>
      <c r="F126" s="129"/>
      <c r="G126" s="129"/>
      <c r="H126" s="129"/>
      <c r="I126" s="129"/>
      <c r="J126" s="129"/>
      <c r="K126" s="117"/>
      <c r="L126" s="117"/>
    </row>
    <row r="127" ht="12.75" customHeight="1">
      <c r="A127" s="203" t="s">
        <v>154</v>
      </c>
      <c r="B127" s="43"/>
      <c r="C127" s="43"/>
      <c r="D127" s="43"/>
      <c r="E127" s="43"/>
      <c r="F127" s="43"/>
      <c r="G127" s="43"/>
      <c r="H127" s="43"/>
      <c r="I127" s="43"/>
      <c r="J127" s="44"/>
    </row>
    <row r="128" ht="12.75" customHeight="1">
      <c r="A128" s="204" t="s">
        <v>155</v>
      </c>
      <c r="B128" s="49"/>
      <c r="C128" s="49"/>
      <c r="D128" s="50"/>
      <c r="E128" s="205" t="s">
        <v>156</v>
      </c>
      <c r="F128" s="8"/>
      <c r="G128" s="8"/>
      <c r="H128" s="8"/>
      <c r="I128" s="8"/>
      <c r="J128" s="9"/>
    </row>
    <row r="129" ht="12.75" customHeight="1">
      <c r="A129" s="206" t="s">
        <v>157</v>
      </c>
      <c r="B129" s="207"/>
      <c r="C129" s="207"/>
      <c r="D129" s="208"/>
      <c r="E129" s="21"/>
      <c r="F129" s="53"/>
      <c r="G129" s="53"/>
      <c r="H129" s="53"/>
      <c r="I129" s="53"/>
      <c r="J129" s="54"/>
    </row>
    <row r="130" ht="12.75" customHeight="1">
      <c r="A130" s="209" t="s">
        <v>158</v>
      </c>
      <c r="B130" s="43"/>
      <c r="C130" s="43"/>
      <c r="D130" s="44"/>
      <c r="E130" s="150" t="s">
        <v>137</v>
      </c>
      <c r="F130" s="43"/>
      <c r="G130" s="43"/>
      <c r="H130" s="43"/>
      <c r="I130" s="43"/>
      <c r="J130" s="44"/>
    </row>
    <row r="131" ht="27.0" customHeight="1">
      <c r="A131" s="112"/>
      <c r="B131" s="114"/>
      <c r="C131" s="114"/>
      <c r="D131" s="114"/>
      <c r="E131" s="210" t="s">
        <v>159</v>
      </c>
      <c r="F131" s="53"/>
      <c r="G131" s="210" t="s">
        <v>160</v>
      </c>
      <c r="H131" s="53"/>
      <c r="I131" s="211" t="s">
        <v>161</v>
      </c>
      <c r="J131" s="54"/>
    </row>
    <row r="132" ht="12.75" customHeight="1">
      <c r="A132" s="149" t="s">
        <v>162</v>
      </c>
      <c r="B132" s="43"/>
      <c r="C132" s="43"/>
      <c r="D132" s="44"/>
      <c r="E132" s="212">
        <v>136210.55</v>
      </c>
      <c r="F132" s="44"/>
      <c r="G132" s="212"/>
      <c r="H132" s="44"/>
      <c r="I132" s="213"/>
      <c r="J132" s="44"/>
    </row>
    <row r="133" ht="12.75" customHeight="1">
      <c r="A133" s="214" t="s">
        <v>163</v>
      </c>
      <c r="B133" s="43"/>
      <c r="C133" s="43"/>
      <c r="D133" s="44"/>
      <c r="E133" s="215"/>
      <c r="F133" s="44"/>
      <c r="G133" s="216"/>
      <c r="H133" s="44"/>
      <c r="I133" s="217"/>
      <c r="J133" s="44"/>
    </row>
    <row r="134" ht="12.75" customHeight="1">
      <c r="A134" s="149" t="s">
        <v>164</v>
      </c>
      <c r="B134" s="43"/>
      <c r="C134" s="43"/>
      <c r="D134" s="44"/>
      <c r="E134" s="212"/>
      <c r="F134" s="44"/>
      <c r="G134" s="212"/>
      <c r="H134" s="44"/>
      <c r="I134" s="213"/>
      <c r="J134" s="44"/>
    </row>
    <row r="135" ht="12.75" customHeight="1">
      <c r="A135" s="214" t="s">
        <v>165</v>
      </c>
      <c r="B135" s="43"/>
      <c r="C135" s="43"/>
      <c r="D135" s="44"/>
      <c r="E135" s="215"/>
      <c r="F135" s="44"/>
      <c r="G135" s="216"/>
      <c r="H135" s="44"/>
      <c r="I135" s="217"/>
      <c r="J135" s="44"/>
    </row>
    <row r="136" ht="12.75" customHeight="1">
      <c r="A136" s="149" t="s">
        <v>166</v>
      </c>
      <c r="B136" s="43"/>
      <c r="C136" s="43"/>
      <c r="D136" s="44"/>
      <c r="E136" s="212"/>
      <c r="F136" s="44"/>
      <c r="G136" s="212"/>
      <c r="H136" s="44"/>
      <c r="I136" s="213"/>
      <c r="J136" s="44"/>
    </row>
    <row r="137" ht="12.75" customHeight="1">
      <c r="A137" s="214" t="s">
        <v>167</v>
      </c>
      <c r="B137" s="43"/>
      <c r="C137" s="43"/>
      <c r="D137" s="44"/>
      <c r="E137" s="215"/>
      <c r="F137" s="44"/>
      <c r="G137" s="216"/>
      <c r="H137" s="44"/>
      <c r="I137" s="217"/>
      <c r="J137" s="44"/>
    </row>
    <row r="138" ht="12.75" customHeight="1">
      <c r="A138" s="149" t="s">
        <v>168</v>
      </c>
      <c r="B138" s="43"/>
      <c r="C138" s="43"/>
      <c r="D138" s="44"/>
      <c r="E138" s="218"/>
      <c r="F138" s="44"/>
      <c r="G138" s="218"/>
      <c r="H138" s="44"/>
      <c r="I138" s="219"/>
      <c r="J138" s="44"/>
    </row>
    <row r="139" ht="12.75" customHeight="1">
      <c r="A139" s="220"/>
      <c r="B139" s="43"/>
      <c r="C139" s="43"/>
      <c r="D139" s="44"/>
      <c r="E139" s="215"/>
      <c r="F139" s="44"/>
      <c r="G139" s="216"/>
      <c r="H139" s="44"/>
      <c r="I139" s="216"/>
      <c r="J139" s="44"/>
    </row>
    <row r="140" ht="12.75" customHeight="1">
      <c r="A140" s="220"/>
      <c r="B140" s="43"/>
      <c r="C140" s="43"/>
      <c r="D140" s="44"/>
      <c r="E140" s="215"/>
      <c r="F140" s="44"/>
      <c r="G140" s="216"/>
      <c r="H140" s="44"/>
      <c r="I140" s="216"/>
      <c r="J140" s="44"/>
    </row>
    <row r="141" ht="12.75" customHeight="1">
      <c r="A141" s="220"/>
      <c r="B141" s="43"/>
      <c r="C141" s="43"/>
      <c r="D141" s="44"/>
      <c r="E141" s="215"/>
      <c r="F141" s="44"/>
      <c r="G141" s="216"/>
      <c r="H141" s="44"/>
      <c r="I141" s="216"/>
      <c r="J141" s="44"/>
      <c r="P141" s="47"/>
    </row>
    <row r="142" ht="12.75" customHeight="1">
      <c r="A142" s="151" t="s">
        <v>169</v>
      </c>
      <c r="B142" s="43"/>
      <c r="C142" s="43"/>
      <c r="D142" s="44"/>
      <c r="E142" s="221">
        <f>SUM(E132:E141)</f>
        <v>136210.55</v>
      </c>
      <c r="F142" s="44"/>
      <c r="G142" s="221">
        <f>SUM(G132:G141)</f>
        <v>0</v>
      </c>
      <c r="H142" s="44"/>
      <c r="I142" s="221">
        <f>SUM(I132:I141)</f>
        <v>0</v>
      </c>
      <c r="J142" s="44"/>
      <c r="L142" s="28"/>
    </row>
    <row r="143" ht="14.25" customHeight="1">
      <c r="A143" s="222" t="s">
        <v>170</v>
      </c>
      <c r="B143" s="49"/>
      <c r="C143" s="49"/>
      <c r="D143" s="49"/>
      <c r="E143" s="49"/>
      <c r="F143" s="49"/>
      <c r="G143" s="49"/>
      <c r="H143" s="49"/>
      <c r="I143" s="49"/>
      <c r="J143" s="50"/>
      <c r="L143" s="28"/>
    </row>
    <row r="144" ht="14.25" customHeight="1">
      <c r="A144" s="223" t="s">
        <v>171</v>
      </c>
      <c r="B144" s="56"/>
      <c r="C144" s="56"/>
      <c r="D144" s="56"/>
      <c r="E144" s="56"/>
      <c r="F144" s="56"/>
      <c r="G144" s="56"/>
      <c r="H144" s="56"/>
      <c r="I144" s="56"/>
      <c r="J144" s="57"/>
      <c r="L144" s="28"/>
    </row>
    <row r="145" ht="14.25" customHeight="1">
      <c r="A145" s="223" t="s">
        <v>172</v>
      </c>
      <c r="B145" s="56"/>
      <c r="C145" s="56"/>
      <c r="D145" s="56"/>
      <c r="E145" s="56"/>
      <c r="F145" s="56"/>
      <c r="G145" s="56"/>
      <c r="H145" s="56"/>
      <c r="I145" s="56"/>
      <c r="J145" s="57"/>
      <c r="L145" s="28"/>
    </row>
    <row r="146" ht="14.25" customHeight="1">
      <c r="A146" s="224" t="s">
        <v>173</v>
      </c>
      <c r="B146" s="207"/>
      <c r="C146" s="207"/>
      <c r="D146" s="207"/>
      <c r="E146" s="207"/>
      <c r="F146" s="207"/>
      <c r="G146" s="207"/>
      <c r="H146" s="207"/>
      <c r="I146" s="207"/>
      <c r="J146" s="208"/>
      <c r="L146" s="28"/>
    </row>
    <row r="147" ht="15.0" customHeight="1">
      <c r="A147" s="225" t="s">
        <v>174</v>
      </c>
      <c r="B147" s="8"/>
      <c r="C147" s="8"/>
      <c r="D147" s="8"/>
      <c r="E147" s="8"/>
      <c r="F147" s="8"/>
      <c r="G147" s="8"/>
      <c r="H147" s="8"/>
      <c r="I147" s="8"/>
      <c r="J147" s="9"/>
      <c r="L147" s="28"/>
    </row>
    <row r="148" ht="15.0" customHeight="1">
      <c r="A148" s="10"/>
      <c r="J148" s="31"/>
    </row>
    <row r="149" ht="15.0" customHeight="1">
      <c r="A149" s="10"/>
      <c r="J149" s="31"/>
    </row>
    <row r="150" ht="15.0" customHeight="1">
      <c r="A150" s="10"/>
      <c r="J150" s="31"/>
    </row>
    <row r="151" ht="15.0" customHeight="1">
      <c r="A151" s="10"/>
      <c r="J151" s="31"/>
    </row>
    <row r="152" ht="15.0" customHeight="1">
      <c r="A152" s="10"/>
      <c r="J152" s="31"/>
    </row>
    <row r="153" ht="15.0" customHeight="1">
      <c r="A153" s="10"/>
      <c r="J153" s="31"/>
    </row>
    <row r="154" ht="15.0" customHeight="1">
      <c r="A154" s="10"/>
      <c r="J154" s="31"/>
    </row>
    <row r="155" ht="15.0" customHeight="1">
      <c r="A155" s="10"/>
      <c r="J155" s="31"/>
    </row>
    <row r="156" ht="15.0" customHeight="1">
      <c r="A156" s="10"/>
      <c r="J156" s="31"/>
    </row>
    <row r="157" ht="15.0" customHeight="1">
      <c r="A157" s="10"/>
      <c r="J157" s="31"/>
      <c r="L157" s="28"/>
    </row>
    <row r="158" ht="15.0" customHeight="1">
      <c r="A158" s="10"/>
      <c r="J158" s="31"/>
      <c r="L158" s="28"/>
    </row>
    <row r="159" ht="15.0" customHeight="1">
      <c r="A159" s="10"/>
      <c r="J159" s="31"/>
      <c r="L159" s="28"/>
    </row>
    <row r="160" ht="15.0" customHeight="1">
      <c r="A160" s="10"/>
      <c r="J160" s="31"/>
      <c r="L160" s="28"/>
    </row>
    <row r="161" ht="15.0" customHeight="1">
      <c r="A161" s="10"/>
      <c r="J161" s="31"/>
      <c r="L161" s="28"/>
    </row>
    <row r="162" ht="15.0" customHeight="1">
      <c r="A162" s="10"/>
      <c r="J162" s="31"/>
      <c r="L162" s="28"/>
    </row>
    <row r="163" ht="15.0" customHeight="1">
      <c r="A163" s="10"/>
      <c r="J163" s="31"/>
      <c r="L163" s="28"/>
    </row>
    <row r="164" ht="15.0" customHeight="1">
      <c r="A164" s="10"/>
      <c r="J164" s="31"/>
      <c r="L164" s="28"/>
    </row>
    <row r="165" ht="15.0" customHeight="1">
      <c r="A165" s="10"/>
      <c r="J165" s="31"/>
      <c r="L165" s="28"/>
    </row>
    <row r="166" ht="15.0" customHeight="1">
      <c r="A166" s="10"/>
      <c r="J166" s="31"/>
      <c r="L166" s="28"/>
    </row>
    <row r="167" ht="15.0" customHeight="1">
      <c r="A167" s="10"/>
      <c r="J167" s="31"/>
      <c r="L167" s="28"/>
    </row>
    <row r="168" ht="15.0" customHeight="1">
      <c r="A168" s="10"/>
      <c r="J168" s="31"/>
      <c r="L168" s="28"/>
    </row>
    <row r="169" ht="15.0" customHeight="1">
      <c r="A169" s="10"/>
      <c r="J169" s="31"/>
      <c r="L169" s="28"/>
    </row>
    <row r="170" ht="15.0" customHeight="1">
      <c r="A170" s="10"/>
      <c r="J170" s="31"/>
      <c r="K170" s="117"/>
      <c r="L170" s="117"/>
    </row>
    <row r="171" ht="15.0" customHeight="1">
      <c r="A171" s="10"/>
      <c r="J171" s="31"/>
    </row>
    <row r="172" ht="15.0" customHeight="1">
      <c r="A172" s="10"/>
      <c r="J172" s="31"/>
    </row>
    <row r="173" ht="15.0" customHeight="1">
      <c r="A173" s="10"/>
      <c r="J173" s="31"/>
    </row>
    <row r="174" ht="15.0" customHeight="1">
      <c r="A174" s="21"/>
      <c r="B174" s="53"/>
      <c r="C174" s="53"/>
      <c r="D174" s="53"/>
      <c r="E174" s="53"/>
      <c r="F174" s="53"/>
      <c r="G174" s="53"/>
      <c r="H174" s="53"/>
      <c r="I174" s="53"/>
      <c r="J174" s="54"/>
    </row>
    <row r="175" ht="15.0" customHeight="1">
      <c r="A175" s="226"/>
      <c r="B175" s="226"/>
      <c r="C175" s="226"/>
      <c r="D175" s="226"/>
      <c r="E175" s="226"/>
      <c r="F175" s="226"/>
      <c r="G175" s="226"/>
      <c r="H175" s="226"/>
      <c r="I175" s="226"/>
      <c r="J175" s="226"/>
    </row>
    <row r="176" ht="15.0" customHeight="1">
      <c r="A176" s="226"/>
      <c r="B176" s="226"/>
      <c r="C176" s="226"/>
      <c r="D176" s="226"/>
      <c r="E176" s="226"/>
      <c r="F176" s="226"/>
      <c r="G176" s="226"/>
      <c r="H176" s="226"/>
      <c r="I176" s="226"/>
      <c r="J176" s="226"/>
    </row>
    <row r="177" ht="12.75" customHeight="1">
      <c r="A177" s="127" t="s">
        <v>80</v>
      </c>
      <c r="B177" s="43"/>
      <c r="C177" s="43"/>
      <c r="D177" s="43"/>
      <c r="E177" s="43"/>
      <c r="F177" s="43"/>
      <c r="G177" s="75"/>
      <c r="H177" s="128" t="str">
        <f>'CONTACT INFORMATION'!$A$24</f>
        <v>Amador</v>
      </c>
      <c r="I177" s="43"/>
      <c r="J177" s="44"/>
      <c r="K177" s="227"/>
      <c r="L177" s="227"/>
      <c r="M177" s="227"/>
      <c r="N177" s="227"/>
      <c r="O177" s="227"/>
      <c r="P177" s="227"/>
      <c r="Q177" s="227"/>
      <c r="R177" s="227"/>
      <c r="S177" s="227"/>
      <c r="T177" s="227"/>
    </row>
    <row r="178" ht="7.5" customHeight="1">
      <c r="A178" s="228"/>
      <c r="B178" s="228"/>
      <c r="C178" s="228"/>
      <c r="D178" s="228"/>
      <c r="E178" s="228"/>
      <c r="F178" s="228"/>
      <c r="G178" s="228"/>
      <c r="H178" s="228"/>
      <c r="I178" s="228"/>
      <c r="J178" s="228"/>
    </row>
    <row r="179" ht="12.75" customHeight="1">
      <c r="A179" s="203" t="s">
        <v>175</v>
      </c>
      <c r="B179" s="43"/>
      <c r="C179" s="43"/>
      <c r="D179" s="43"/>
      <c r="E179" s="43"/>
      <c r="F179" s="43"/>
      <c r="G179" s="43"/>
      <c r="H179" s="43"/>
      <c r="I179" s="43"/>
      <c r="J179" s="44"/>
    </row>
    <row r="180" ht="12.75" customHeight="1">
      <c r="A180" s="204" t="s">
        <v>155</v>
      </c>
      <c r="B180" s="49"/>
      <c r="C180" s="49"/>
      <c r="D180" s="50"/>
      <c r="E180" s="205" t="s">
        <v>176</v>
      </c>
      <c r="F180" s="8"/>
      <c r="G180" s="8"/>
      <c r="H180" s="8"/>
      <c r="I180" s="8"/>
      <c r="J180" s="9"/>
    </row>
    <row r="181" ht="12.75" customHeight="1">
      <c r="A181" s="206" t="s">
        <v>157</v>
      </c>
      <c r="B181" s="207"/>
      <c r="C181" s="207"/>
      <c r="D181" s="208"/>
      <c r="E181" s="21"/>
      <c r="F181" s="53"/>
      <c r="G181" s="53"/>
      <c r="H181" s="53"/>
      <c r="I181" s="53"/>
      <c r="J181" s="54"/>
    </row>
    <row r="182" ht="12.75" customHeight="1">
      <c r="A182" s="209" t="s">
        <v>177</v>
      </c>
      <c r="B182" s="43"/>
      <c r="C182" s="43"/>
      <c r="D182" s="44"/>
      <c r="E182" s="150" t="s">
        <v>135</v>
      </c>
      <c r="F182" s="43"/>
      <c r="G182" s="43"/>
      <c r="H182" s="43"/>
      <c r="I182" s="43"/>
      <c r="J182" s="44"/>
    </row>
    <row r="183" ht="27.0" customHeight="1">
      <c r="A183" s="229"/>
      <c r="B183" s="210"/>
      <c r="C183" s="210"/>
      <c r="D183" s="210"/>
      <c r="E183" s="210" t="s">
        <v>159</v>
      </c>
      <c r="F183" s="53"/>
      <c r="G183" s="210" t="s">
        <v>160</v>
      </c>
      <c r="H183" s="53"/>
      <c r="I183" s="211" t="s">
        <v>161</v>
      </c>
      <c r="J183" s="54"/>
      <c r="U183" s="227"/>
      <c r="V183" s="227"/>
      <c r="W183" s="227"/>
      <c r="X183" s="227"/>
      <c r="Y183" s="227"/>
      <c r="Z183" s="227"/>
    </row>
    <row r="184" ht="12.75" customHeight="1">
      <c r="A184" s="149" t="s">
        <v>162</v>
      </c>
      <c r="B184" s="43"/>
      <c r="C184" s="43"/>
      <c r="D184" s="44"/>
      <c r="E184" s="212"/>
      <c r="F184" s="44"/>
      <c r="G184" s="212"/>
      <c r="H184" s="44"/>
      <c r="I184" s="213"/>
      <c r="J184" s="44"/>
    </row>
    <row r="185" ht="12.75" customHeight="1">
      <c r="A185" s="214" t="s">
        <v>163</v>
      </c>
      <c r="B185" s="43"/>
      <c r="C185" s="43"/>
      <c r="D185" s="44"/>
      <c r="E185" s="215"/>
      <c r="F185" s="44"/>
      <c r="G185" s="216"/>
      <c r="H185" s="44"/>
      <c r="I185" s="217"/>
      <c r="J185" s="44"/>
    </row>
    <row r="186" ht="12.75" customHeight="1">
      <c r="A186" s="149" t="s">
        <v>164</v>
      </c>
      <c r="B186" s="43"/>
      <c r="C186" s="43"/>
      <c r="D186" s="44"/>
      <c r="E186" s="212"/>
      <c r="F186" s="44"/>
      <c r="G186" s="212">
        <v>65793.0</v>
      </c>
      <c r="H186" s="44"/>
      <c r="I186" s="213"/>
      <c r="J186" s="44"/>
    </row>
    <row r="187" ht="12.75" customHeight="1">
      <c r="A187" s="214" t="s">
        <v>165</v>
      </c>
      <c r="B187" s="43"/>
      <c r="C187" s="43"/>
      <c r="D187" s="44"/>
      <c r="E187" s="215"/>
      <c r="F187" s="44"/>
      <c r="G187" s="216"/>
      <c r="H187" s="44"/>
      <c r="I187" s="217"/>
      <c r="J187" s="44"/>
    </row>
    <row r="188" ht="12.75" customHeight="1">
      <c r="A188" s="149" t="s">
        <v>166</v>
      </c>
      <c r="B188" s="43"/>
      <c r="C188" s="43"/>
      <c r="D188" s="44"/>
      <c r="E188" s="212"/>
      <c r="F188" s="44"/>
      <c r="G188" s="212"/>
      <c r="H188" s="44"/>
      <c r="I188" s="213"/>
      <c r="J188" s="44"/>
    </row>
    <row r="189" ht="12.75" customHeight="1">
      <c r="A189" s="214" t="s">
        <v>167</v>
      </c>
      <c r="B189" s="43"/>
      <c r="C189" s="43"/>
      <c r="D189" s="44"/>
      <c r="E189" s="215"/>
      <c r="F189" s="44"/>
      <c r="G189" s="216"/>
      <c r="H189" s="44"/>
      <c r="I189" s="217"/>
      <c r="J189" s="44"/>
    </row>
    <row r="190" ht="12.75" customHeight="1">
      <c r="A190" s="149" t="s">
        <v>168</v>
      </c>
      <c r="B190" s="43"/>
      <c r="C190" s="43"/>
      <c r="D190" s="44"/>
      <c r="E190" s="218"/>
      <c r="F190" s="44"/>
      <c r="G190" s="218"/>
      <c r="H190" s="44"/>
      <c r="I190" s="219"/>
      <c r="J190" s="44"/>
    </row>
    <row r="191" ht="12.75" customHeight="1">
      <c r="A191" s="220"/>
      <c r="B191" s="43"/>
      <c r="C191" s="43"/>
      <c r="D191" s="44"/>
      <c r="E191" s="215"/>
      <c r="F191" s="44"/>
      <c r="G191" s="216"/>
      <c r="H191" s="44"/>
      <c r="I191" s="216"/>
      <c r="J191" s="44"/>
    </row>
    <row r="192" ht="12.75" customHeight="1">
      <c r="A192" s="220"/>
      <c r="B192" s="43"/>
      <c r="C192" s="43"/>
      <c r="D192" s="44"/>
      <c r="E192" s="215"/>
      <c r="F192" s="44"/>
      <c r="G192" s="216"/>
      <c r="H192" s="44"/>
      <c r="I192" s="216"/>
      <c r="J192" s="44"/>
    </row>
    <row r="193" ht="12.75" customHeight="1">
      <c r="A193" s="220"/>
      <c r="B193" s="43"/>
      <c r="C193" s="43"/>
      <c r="D193" s="44"/>
      <c r="E193" s="215"/>
      <c r="F193" s="44"/>
      <c r="G193" s="216"/>
      <c r="H193" s="44"/>
      <c r="I193" s="216"/>
      <c r="J193" s="44"/>
    </row>
    <row r="194" ht="12.75" customHeight="1">
      <c r="A194" s="151" t="s">
        <v>169</v>
      </c>
      <c r="B194" s="43"/>
      <c r="C194" s="43"/>
      <c r="D194" s="44"/>
      <c r="E194" s="221">
        <f>SUM(E184:E193)</f>
        <v>0</v>
      </c>
      <c r="F194" s="44"/>
      <c r="G194" s="221">
        <f>SUM(G184:G193)</f>
        <v>65793</v>
      </c>
      <c r="H194" s="44"/>
      <c r="I194" s="221">
        <f>SUM(I184:I193)</f>
        <v>0</v>
      </c>
      <c r="J194" s="44"/>
    </row>
    <row r="195" ht="14.25" customHeight="1">
      <c r="A195" s="222" t="s">
        <v>170</v>
      </c>
      <c r="B195" s="49"/>
      <c r="C195" s="49"/>
      <c r="D195" s="49"/>
      <c r="E195" s="49"/>
      <c r="F195" s="49"/>
      <c r="G195" s="49"/>
      <c r="H195" s="49"/>
      <c r="I195" s="49"/>
      <c r="J195" s="50"/>
    </row>
    <row r="196" ht="14.25" customHeight="1">
      <c r="A196" s="223" t="s">
        <v>171</v>
      </c>
      <c r="B196" s="56"/>
      <c r="C196" s="56"/>
      <c r="D196" s="56"/>
      <c r="E196" s="56"/>
      <c r="F196" s="56"/>
      <c r="G196" s="56"/>
      <c r="H196" s="56"/>
      <c r="I196" s="56"/>
      <c r="J196" s="57"/>
    </row>
    <row r="197" ht="14.25" customHeight="1">
      <c r="A197" s="223" t="s">
        <v>172</v>
      </c>
      <c r="B197" s="56"/>
      <c r="C197" s="56"/>
      <c r="D197" s="56"/>
      <c r="E197" s="56"/>
      <c r="F197" s="56"/>
      <c r="G197" s="56"/>
      <c r="H197" s="56"/>
      <c r="I197" s="56"/>
      <c r="J197" s="57"/>
    </row>
    <row r="198" ht="14.25" customHeight="1">
      <c r="A198" s="224" t="s">
        <v>173</v>
      </c>
      <c r="B198" s="207"/>
      <c r="C198" s="207"/>
      <c r="D198" s="207"/>
      <c r="E198" s="207"/>
      <c r="F198" s="207"/>
      <c r="G198" s="207"/>
      <c r="H198" s="207"/>
      <c r="I198" s="207"/>
      <c r="J198" s="208"/>
    </row>
    <row r="199" ht="15.75" customHeight="1">
      <c r="A199" s="186" t="s">
        <v>178</v>
      </c>
      <c r="B199" s="8"/>
      <c r="C199" s="8"/>
      <c r="D199" s="8"/>
      <c r="E199" s="8"/>
      <c r="F199" s="8"/>
      <c r="G199" s="8"/>
      <c r="H199" s="8"/>
      <c r="I199" s="8"/>
      <c r="J199" s="9"/>
    </row>
    <row r="200" ht="15.0" customHeight="1">
      <c r="A200" s="10"/>
      <c r="J200" s="31"/>
    </row>
    <row r="201" ht="15.0" customHeight="1">
      <c r="A201" s="10"/>
      <c r="J201" s="31"/>
    </row>
    <row r="202" ht="15.0" customHeight="1">
      <c r="A202" s="10"/>
      <c r="J202" s="31"/>
    </row>
    <row r="203" ht="15.0" customHeight="1">
      <c r="A203" s="10"/>
      <c r="J203" s="31"/>
    </row>
    <row r="204" ht="15.0" customHeight="1">
      <c r="A204" s="10"/>
      <c r="J204" s="31"/>
    </row>
    <row r="205" ht="15.0" customHeight="1">
      <c r="A205" s="10"/>
      <c r="J205" s="31"/>
    </row>
    <row r="206" ht="15.0" customHeight="1">
      <c r="A206" s="10"/>
      <c r="J206" s="31"/>
    </row>
    <row r="207" ht="15.0" customHeight="1">
      <c r="A207" s="10"/>
      <c r="J207" s="31"/>
    </row>
    <row r="208" ht="15.0" customHeight="1">
      <c r="A208" s="10"/>
      <c r="J208" s="31"/>
    </row>
    <row r="209" ht="15.0" customHeight="1">
      <c r="A209" s="10"/>
      <c r="J209" s="31"/>
    </row>
    <row r="210" ht="15.0" customHeight="1">
      <c r="A210" s="10"/>
      <c r="J210" s="31"/>
    </row>
    <row r="211" ht="15.0" customHeight="1">
      <c r="A211" s="10"/>
      <c r="J211" s="31"/>
    </row>
    <row r="212" ht="15.0" customHeight="1">
      <c r="A212" s="10"/>
      <c r="J212" s="31"/>
    </row>
    <row r="213" ht="15.0" customHeight="1">
      <c r="A213" s="10"/>
      <c r="J213" s="31"/>
    </row>
    <row r="214" ht="15.0" customHeight="1">
      <c r="A214" s="10"/>
      <c r="J214" s="31"/>
    </row>
    <row r="215" ht="15.0" customHeight="1">
      <c r="A215" s="10"/>
      <c r="J215" s="31"/>
    </row>
    <row r="216" ht="15.0" customHeight="1">
      <c r="A216" s="10"/>
      <c r="J216" s="31"/>
    </row>
    <row r="217" ht="15.0" customHeight="1">
      <c r="A217" s="10"/>
      <c r="J217" s="31"/>
    </row>
    <row r="218" ht="15.0" customHeight="1">
      <c r="A218" s="10"/>
      <c r="J218" s="31"/>
    </row>
    <row r="219" ht="15.0" customHeight="1">
      <c r="A219" s="10"/>
      <c r="J219" s="31"/>
    </row>
    <row r="220" ht="15.0" customHeight="1">
      <c r="A220" s="10"/>
      <c r="J220" s="31"/>
    </row>
    <row r="221" ht="15.0" customHeight="1">
      <c r="A221" s="10"/>
      <c r="J221" s="31"/>
      <c r="K221" s="117"/>
      <c r="L221" s="117"/>
    </row>
    <row r="222" ht="15.0" customHeight="1">
      <c r="A222" s="10"/>
      <c r="J222" s="31"/>
    </row>
    <row r="223" ht="15.0" customHeight="1">
      <c r="A223" s="10"/>
      <c r="J223" s="31"/>
    </row>
    <row r="224" ht="15.0" customHeight="1">
      <c r="A224" s="10"/>
      <c r="J224" s="31"/>
    </row>
    <row r="225" ht="15.0" customHeight="1">
      <c r="A225" s="10"/>
      <c r="J225" s="31"/>
    </row>
    <row r="226" ht="15.0" customHeight="1">
      <c r="A226" s="21"/>
      <c r="B226" s="53"/>
      <c r="C226" s="53"/>
      <c r="D226" s="53"/>
      <c r="E226" s="53"/>
      <c r="F226" s="53"/>
      <c r="G226" s="53"/>
      <c r="H226" s="53"/>
      <c r="I226" s="53"/>
      <c r="J226" s="54"/>
    </row>
    <row r="227" ht="15.0" customHeight="1">
      <c r="A227" s="68"/>
      <c r="B227" s="68"/>
      <c r="C227" s="68"/>
      <c r="D227" s="68"/>
      <c r="E227" s="68"/>
      <c r="F227" s="68"/>
      <c r="G227" s="68"/>
      <c r="H227" s="68"/>
      <c r="I227" s="68"/>
      <c r="J227" s="68"/>
    </row>
    <row r="228" ht="15.0" customHeight="1">
      <c r="A228" s="68"/>
      <c r="B228" s="68"/>
      <c r="C228" s="68"/>
      <c r="D228" s="68"/>
      <c r="E228" s="68"/>
      <c r="F228" s="68"/>
      <c r="G228" s="68"/>
      <c r="H228" s="68"/>
      <c r="I228" s="68"/>
      <c r="J228" s="68"/>
    </row>
    <row r="229" ht="15.0" customHeight="1">
      <c r="A229" s="230"/>
      <c r="B229" s="230"/>
      <c r="C229" s="230"/>
      <c r="D229" s="230"/>
      <c r="E229" s="230"/>
      <c r="F229" s="230"/>
      <c r="G229" s="230"/>
      <c r="H229" s="230"/>
      <c r="I229" s="230"/>
      <c r="J229" s="230"/>
    </row>
    <row r="230" ht="12.75" customHeight="1">
      <c r="A230" s="127" t="s">
        <v>80</v>
      </c>
      <c r="B230" s="43"/>
      <c r="C230" s="43"/>
      <c r="D230" s="43"/>
      <c r="E230" s="43"/>
      <c r="F230" s="43"/>
      <c r="G230" s="75"/>
      <c r="H230" s="128" t="str">
        <f>'CONTACT INFORMATION'!$A$24</f>
        <v>Amador</v>
      </c>
      <c r="I230" s="43"/>
      <c r="J230" s="44"/>
    </row>
    <row r="231" ht="7.5" customHeight="1">
      <c r="A231" s="228"/>
      <c r="B231" s="228"/>
      <c r="C231" s="228"/>
      <c r="D231" s="228"/>
      <c r="E231" s="228"/>
      <c r="F231" s="228"/>
      <c r="G231" s="228"/>
      <c r="H231" s="228"/>
      <c r="I231" s="228"/>
      <c r="J231" s="228"/>
    </row>
    <row r="232" ht="12.75" customHeight="1">
      <c r="A232" s="203" t="s">
        <v>179</v>
      </c>
      <c r="B232" s="43"/>
      <c r="C232" s="43"/>
      <c r="D232" s="43"/>
      <c r="E232" s="43"/>
      <c r="F232" s="43"/>
      <c r="G232" s="43"/>
      <c r="H232" s="43"/>
      <c r="I232" s="43"/>
      <c r="J232" s="44"/>
    </row>
    <row r="233" ht="12.75" customHeight="1">
      <c r="A233" s="204" t="s">
        <v>155</v>
      </c>
      <c r="B233" s="49"/>
      <c r="C233" s="49"/>
      <c r="D233" s="50"/>
      <c r="E233" s="205" t="s">
        <v>100</v>
      </c>
      <c r="F233" s="8"/>
      <c r="G233" s="8"/>
      <c r="H233" s="8"/>
      <c r="I233" s="8"/>
      <c r="J233" s="9"/>
    </row>
    <row r="234" ht="12.75" customHeight="1">
      <c r="A234" s="206" t="s">
        <v>157</v>
      </c>
      <c r="B234" s="207"/>
      <c r="C234" s="207"/>
      <c r="D234" s="208"/>
      <c r="E234" s="21"/>
      <c r="F234" s="53"/>
      <c r="G234" s="53"/>
      <c r="H234" s="53"/>
      <c r="I234" s="53"/>
      <c r="J234" s="54"/>
    </row>
    <row r="235" ht="12.75" customHeight="1">
      <c r="A235" s="209" t="s">
        <v>180</v>
      </c>
      <c r="B235" s="43"/>
      <c r="C235" s="43"/>
      <c r="D235" s="44"/>
      <c r="E235" s="150" t="s">
        <v>100</v>
      </c>
      <c r="F235" s="43"/>
      <c r="G235" s="43"/>
      <c r="H235" s="43"/>
      <c r="I235" s="43"/>
      <c r="J235" s="44"/>
    </row>
    <row r="236" ht="27.0" customHeight="1">
      <c r="A236" s="229"/>
      <c r="B236" s="210"/>
      <c r="C236" s="210"/>
      <c r="D236" s="210"/>
      <c r="E236" s="210" t="s">
        <v>159</v>
      </c>
      <c r="F236" s="53"/>
      <c r="G236" s="210" t="s">
        <v>160</v>
      </c>
      <c r="H236" s="53"/>
      <c r="I236" s="211" t="s">
        <v>161</v>
      </c>
      <c r="J236" s="54"/>
    </row>
    <row r="237" ht="12.75" customHeight="1">
      <c r="A237" s="149" t="s">
        <v>162</v>
      </c>
      <c r="B237" s="43"/>
      <c r="C237" s="43"/>
      <c r="D237" s="44"/>
      <c r="E237" s="212"/>
      <c r="F237" s="44"/>
      <c r="G237" s="212"/>
      <c r="H237" s="44"/>
      <c r="I237" s="213"/>
      <c r="J237" s="44"/>
    </row>
    <row r="238" ht="12.75" customHeight="1">
      <c r="A238" s="214" t="s">
        <v>163</v>
      </c>
      <c r="B238" s="43"/>
      <c r="C238" s="43"/>
      <c r="D238" s="44"/>
      <c r="E238" s="215"/>
      <c r="F238" s="44"/>
      <c r="G238" s="216"/>
      <c r="H238" s="44"/>
      <c r="I238" s="217"/>
      <c r="J238" s="44"/>
    </row>
    <row r="239" ht="12.75" customHeight="1">
      <c r="A239" s="149" t="s">
        <v>164</v>
      </c>
      <c r="B239" s="43"/>
      <c r="C239" s="43"/>
      <c r="D239" s="44"/>
      <c r="E239" s="212"/>
      <c r="F239" s="44"/>
      <c r="G239" s="212">
        <v>19279.0</v>
      </c>
      <c r="H239" s="44"/>
      <c r="I239" s="213"/>
      <c r="J239" s="44"/>
    </row>
    <row r="240" ht="12.75" customHeight="1">
      <c r="A240" s="214" t="s">
        <v>165</v>
      </c>
      <c r="B240" s="43"/>
      <c r="C240" s="43"/>
      <c r="D240" s="44"/>
      <c r="E240" s="215"/>
      <c r="F240" s="44"/>
      <c r="G240" s="216"/>
      <c r="H240" s="44"/>
      <c r="I240" s="217"/>
      <c r="J240" s="44"/>
    </row>
    <row r="241" ht="12.75" customHeight="1">
      <c r="A241" s="149" t="s">
        <v>166</v>
      </c>
      <c r="B241" s="43"/>
      <c r="C241" s="43"/>
      <c r="D241" s="44"/>
      <c r="E241" s="212"/>
      <c r="F241" s="44"/>
      <c r="G241" s="212"/>
      <c r="H241" s="44"/>
      <c r="I241" s="213"/>
      <c r="J241" s="44"/>
    </row>
    <row r="242" ht="12.75" customHeight="1">
      <c r="A242" s="214" t="s">
        <v>167</v>
      </c>
      <c r="B242" s="43"/>
      <c r="C242" s="43"/>
      <c r="D242" s="44"/>
      <c r="E242" s="215"/>
      <c r="F242" s="44"/>
      <c r="G242" s="216"/>
      <c r="H242" s="44"/>
      <c r="I242" s="217"/>
      <c r="J242" s="44"/>
    </row>
    <row r="243" ht="12.75" customHeight="1">
      <c r="A243" s="149" t="s">
        <v>168</v>
      </c>
      <c r="B243" s="43"/>
      <c r="C243" s="43"/>
      <c r="D243" s="44"/>
      <c r="E243" s="218"/>
      <c r="F243" s="44"/>
      <c r="G243" s="218"/>
      <c r="H243" s="44"/>
      <c r="I243" s="219"/>
      <c r="J243" s="44"/>
    </row>
    <row r="244" ht="12.75" customHeight="1">
      <c r="A244" s="220"/>
      <c r="B244" s="43"/>
      <c r="C244" s="43"/>
      <c r="D244" s="44"/>
      <c r="E244" s="215"/>
      <c r="F244" s="44"/>
      <c r="G244" s="216"/>
      <c r="H244" s="44"/>
      <c r="I244" s="216"/>
      <c r="J244" s="44"/>
    </row>
    <row r="245" ht="12.75" customHeight="1">
      <c r="A245" s="220"/>
      <c r="B245" s="43"/>
      <c r="C245" s="43"/>
      <c r="D245" s="44"/>
      <c r="E245" s="215"/>
      <c r="F245" s="44"/>
      <c r="G245" s="216"/>
      <c r="H245" s="44"/>
      <c r="I245" s="216"/>
      <c r="J245" s="44"/>
    </row>
    <row r="246" ht="12.75" customHeight="1">
      <c r="A246" s="220"/>
      <c r="B246" s="43"/>
      <c r="C246" s="43"/>
      <c r="D246" s="44"/>
      <c r="E246" s="215"/>
      <c r="F246" s="44"/>
      <c r="G246" s="216"/>
      <c r="H246" s="44"/>
      <c r="I246" s="216"/>
      <c r="J246" s="44"/>
    </row>
    <row r="247" ht="12.75" customHeight="1">
      <c r="A247" s="151" t="s">
        <v>169</v>
      </c>
      <c r="B247" s="43"/>
      <c r="C247" s="43"/>
      <c r="D247" s="44"/>
      <c r="E247" s="221">
        <f>SUM(E237:E246)</f>
        <v>0</v>
      </c>
      <c r="F247" s="44"/>
      <c r="G247" s="221">
        <f>SUM(G237:G246)</f>
        <v>19279</v>
      </c>
      <c r="H247" s="44"/>
      <c r="I247" s="221">
        <f>SUM(I237:I246)</f>
        <v>0</v>
      </c>
      <c r="J247" s="44"/>
    </row>
    <row r="248" ht="12.75" customHeight="1">
      <c r="A248" s="222" t="s">
        <v>170</v>
      </c>
      <c r="B248" s="49"/>
      <c r="C248" s="49"/>
      <c r="D248" s="49"/>
      <c r="E248" s="49"/>
      <c r="F248" s="49"/>
      <c r="G248" s="49"/>
      <c r="H248" s="49"/>
      <c r="I248" s="49"/>
      <c r="J248" s="50"/>
    </row>
    <row r="249" ht="12.75" customHeight="1">
      <c r="A249" s="223" t="s">
        <v>171</v>
      </c>
      <c r="B249" s="56"/>
      <c r="C249" s="56"/>
      <c r="D249" s="56"/>
      <c r="E249" s="56"/>
      <c r="F249" s="56"/>
      <c r="G249" s="56"/>
      <c r="H249" s="56"/>
      <c r="I249" s="56"/>
      <c r="J249" s="57"/>
    </row>
    <row r="250" ht="12.75" customHeight="1">
      <c r="A250" s="223" t="s">
        <v>172</v>
      </c>
      <c r="B250" s="56"/>
      <c r="C250" s="56"/>
      <c r="D250" s="56"/>
      <c r="E250" s="56"/>
      <c r="F250" s="56"/>
      <c r="G250" s="56"/>
      <c r="H250" s="56"/>
      <c r="I250" s="56"/>
      <c r="J250" s="57"/>
    </row>
    <row r="251" ht="12.75" customHeight="1">
      <c r="A251" s="224" t="s">
        <v>173</v>
      </c>
      <c r="B251" s="207"/>
      <c r="C251" s="207"/>
      <c r="D251" s="207"/>
      <c r="E251" s="207"/>
      <c r="F251" s="207"/>
      <c r="G251" s="207"/>
      <c r="H251" s="207"/>
      <c r="I251" s="207"/>
      <c r="J251" s="208"/>
    </row>
    <row r="252" ht="12.75" customHeight="1">
      <c r="A252" s="186" t="s">
        <v>181</v>
      </c>
      <c r="B252" s="8"/>
      <c r="C252" s="8"/>
      <c r="D252" s="8"/>
      <c r="E252" s="8"/>
      <c r="F252" s="8"/>
      <c r="G252" s="8"/>
      <c r="H252" s="8"/>
      <c r="I252" s="8"/>
      <c r="J252" s="9"/>
    </row>
    <row r="253" ht="12.75" customHeight="1">
      <c r="A253" s="10"/>
      <c r="J253" s="31"/>
    </row>
    <row r="254" ht="12.75" customHeight="1">
      <c r="A254" s="10"/>
      <c r="J254" s="31"/>
    </row>
    <row r="255" ht="12.75" customHeight="1">
      <c r="A255" s="10"/>
      <c r="J255" s="31"/>
    </row>
    <row r="256" ht="12.75" customHeight="1">
      <c r="A256" s="10"/>
      <c r="J256" s="31"/>
    </row>
    <row r="257" ht="12.75" customHeight="1">
      <c r="A257" s="10"/>
      <c r="J257" s="31"/>
    </row>
    <row r="258" ht="12.75" customHeight="1">
      <c r="A258" s="10"/>
      <c r="J258" s="31"/>
    </row>
    <row r="259" ht="12.75" customHeight="1">
      <c r="A259" s="10"/>
      <c r="J259" s="31"/>
    </row>
    <row r="260" ht="12.75" customHeight="1">
      <c r="A260" s="10"/>
      <c r="J260" s="31"/>
    </row>
    <row r="261" ht="12.75" customHeight="1">
      <c r="A261" s="10"/>
      <c r="J261" s="31"/>
    </row>
    <row r="262" ht="12.75" customHeight="1">
      <c r="A262" s="10"/>
      <c r="J262" s="31"/>
    </row>
    <row r="263" ht="12.75" customHeight="1">
      <c r="A263" s="10"/>
      <c r="J263" s="31"/>
    </row>
    <row r="264" ht="12.75" customHeight="1">
      <c r="A264" s="10"/>
      <c r="J264" s="31"/>
    </row>
    <row r="265" ht="12.75" customHeight="1">
      <c r="A265" s="10"/>
      <c r="J265" s="31"/>
    </row>
    <row r="266" ht="12.75" customHeight="1">
      <c r="A266" s="10"/>
      <c r="J266" s="31"/>
    </row>
    <row r="267" ht="12.75" customHeight="1">
      <c r="A267" s="10"/>
      <c r="J267" s="31"/>
    </row>
    <row r="268" ht="12.75" customHeight="1">
      <c r="A268" s="10"/>
      <c r="J268" s="31"/>
    </row>
    <row r="269" ht="12.75" customHeight="1">
      <c r="A269" s="10"/>
      <c r="J269" s="31"/>
    </row>
    <row r="270" ht="12.75" customHeight="1">
      <c r="A270" s="10"/>
      <c r="J270" s="31"/>
    </row>
    <row r="271" ht="12.75" customHeight="1">
      <c r="A271" s="10"/>
      <c r="J271" s="31"/>
    </row>
    <row r="272" ht="12.75" customHeight="1">
      <c r="A272" s="10"/>
      <c r="J272" s="31"/>
    </row>
    <row r="273" ht="12.75" customHeight="1">
      <c r="A273" s="10"/>
      <c r="J273" s="31"/>
    </row>
    <row r="274" ht="12.75" customHeight="1">
      <c r="A274" s="10"/>
      <c r="J274" s="31"/>
    </row>
    <row r="275" ht="12.75" customHeight="1">
      <c r="A275" s="10"/>
      <c r="J275" s="31"/>
    </row>
    <row r="276" ht="12.75" customHeight="1">
      <c r="A276" s="10"/>
      <c r="J276" s="31"/>
    </row>
    <row r="277" ht="12.75" customHeight="1">
      <c r="A277" s="10"/>
      <c r="J277" s="31"/>
    </row>
    <row r="278" ht="12.75" customHeight="1">
      <c r="A278" s="10"/>
      <c r="J278" s="31"/>
    </row>
    <row r="279" ht="12.75" customHeight="1">
      <c r="A279" s="10"/>
      <c r="J279" s="31"/>
    </row>
    <row r="280" ht="12.75" customHeight="1">
      <c r="A280" s="10"/>
      <c r="J280" s="31"/>
    </row>
    <row r="281" ht="12.75" customHeight="1">
      <c r="A281" s="10"/>
      <c r="J281" s="31"/>
    </row>
    <row r="282" ht="12.75" customHeight="1">
      <c r="A282" s="10"/>
      <c r="J282" s="31"/>
    </row>
    <row r="283" ht="12.75" customHeight="1">
      <c r="A283" s="10"/>
      <c r="J283" s="31"/>
    </row>
    <row r="284" ht="12.75" customHeight="1">
      <c r="A284" s="10"/>
      <c r="J284" s="31"/>
    </row>
    <row r="285" ht="12.75" customHeight="1">
      <c r="A285" s="21"/>
      <c r="B285" s="53"/>
      <c r="C285" s="53"/>
      <c r="D285" s="53"/>
      <c r="E285" s="53"/>
      <c r="F285" s="53"/>
      <c r="G285" s="53"/>
      <c r="H285" s="53"/>
      <c r="I285" s="53"/>
      <c r="J285" s="54"/>
    </row>
    <row r="286" ht="12.75" customHeight="1"/>
    <row r="287" ht="12.75" customHeight="1"/>
    <row r="288" ht="12.75" customHeight="1">
      <c r="A288" s="127" t="s">
        <v>80</v>
      </c>
      <c r="B288" s="43"/>
      <c r="C288" s="43"/>
      <c r="D288" s="43"/>
      <c r="E288" s="43"/>
      <c r="F288" s="43"/>
      <c r="G288" s="75"/>
      <c r="H288" s="128" t="str">
        <f>'CONTACT INFORMATION'!$A$24</f>
        <v>Amador</v>
      </c>
      <c r="I288" s="43"/>
      <c r="J288" s="44"/>
    </row>
    <row r="289" ht="7.5" customHeight="1">
      <c r="A289" s="228"/>
      <c r="B289" s="228"/>
      <c r="C289" s="228"/>
      <c r="D289" s="228"/>
      <c r="E289" s="228"/>
      <c r="F289" s="228"/>
      <c r="G289" s="228"/>
      <c r="H289" s="228"/>
      <c r="I289" s="228"/>
      <c r="J289" s="228"/>
    </row>
    <row r="290" ht="12.75" customHeight="1">
      <c r="A290" s="203" t="s">
        <v>182</v>
      </c>
      <c r="B290" s="43"/>
      <c r="C290" s="43"/>
      <c r="D290" s="43"/>
      <c r="E290" s="43"/>
      <c r="F290" s="43"/>
      <c r="G290" s="43"/>
      <c r="H290" s="43"/>
      <c r="I290" s="43"/>
      <c r="J290" s="44"/>
    </row>
    <row r="291" ht="12.75" customHeight="1">
      <c r="A291" s="204" t="s">
        <v>155</v>
      </c>
      <c r="B291" s="49"/>
      <c r="C291" s="49"/>
      <c r="D291" s="50"/>
      <c r="E291" s="205" t="s">
        <v>183</v>
      </c>
      <c r="F291" s="8"/>
      <c r="G291" s="8"/>
      <c r="H291" s="8"/>
      <c r="I291" s="8"/>
      <c r="J291" s="9"/>
    </row>
    <row r="292" ht="12.75" customHeight="1">
      <c r="A292" s="206" t="s">
        <v>184</v>
      </c>
      <c r="B292" s="207"/>
      <c r="C292" s="207"/>
      <c r="D292" s="208"/>
      <c r="E292" s="21"/>
      <c r="F292" s="53"/>
      <c r="G292" s="53"/>
      <c r="H292" s="53"/>
      <c r="I292" s="53"/>
      <c r="J292" s="54"/>
    </row>
    <row r="293" ht="12.75" customHeight="1">
      <c r="A293" s="209" t="s">
        <v>185</v>
      </c>
      <c r="B293" s="43"/>
      <c r="C293" s="43"/>
      <c r="D293" s="44"/>
      <c r="E293" s="150" t="s">
        <v>111</v>
      </c>
      <c r="F293" s="43"/>
      <c r="G293" s="43"/>
      <c r="H293" s="43"/>
      <c r="I293" s="43"/>
      <c r="J293" s="44"/>
    </row>
    <row r="294" ht="27.0" customHeight="1">
      <c r="A294" s="229"/>
      <c r="B294" s="210"/>
      <c r="C294" s="210"/>
      <c r="D294" s="210"/>
      <c r="E294" s="210" t="s">
        <v>159</v>
      </c>
      <c r="F294" s="53"/>
      <c r="G294" s="210" t="s">
        <v>160</v>
      </c>
      <c r="H294" s="53"/>
      <c r="I294" s="211" t="s">
        <v>161</v>
      </c>
      <c r="J294" s="54"/>
    </row>
    <row r="295" ht="12.75" customHeight="1">
      <c r="A295" s="149" t="s">
        <v>162</v>
      </c>
      <c r="B295" s="43"/>
      <c r="C295" s="43"/>
      <c r="D295" s="44"/>
      <c r="E295" s="212"/>
      <c r="F295" s="44"/>
      <c r="G295" s="212"/>
      <c r="H295" s="44"/>
      <c r="I295" s="213"/>
      <c r="J295" s="44"/>
    </row>
    <row r="296" ht="12.75" customHeight="1">
      <c r="A296" s="214" t="s">
        <v>163</v>
      </c>
      <c r="B296" s="43"/>
      <c r="C296" s="43"/>
      <c r="D296" s="44"/>
      <c r="E296" s="215"/>
      <c r="F296" s="44"/>
      <c r="G296" s="216"/>
      <c r="H296" s="44"/>
      <c r="I296" s="217"/>
      <c r="J296" s="44"/>
    </row>
    <row r="297" ht="12.75" customHeight="1">
      <c r="A297" s="149" t="s">
        <v>164</v>
      </c>
      <c r="B297" s="43"/>
      <c r="C297" s="43"/>
      <c r="D297" s="44"/>
      <c r="E297" s="212"/>
      <c r="F297" s="44"/>
      <c r="G297" s="212">
        <v>34378.0</v>
      </c>
      <c r="H297" s="44"/>
      <c r="I297" s="213"/>
      <c r="J297" s="44"/>
    </row>
    <row r="298" ht="12.75" customHeight="1">
      <c r="A298" s="214" t="s">
        <v>165</v>
      </c>
      <c r="B298" s="43"/>
      <c r="C298" s="43"/>
      <c r="D298" s="44"/>
      <c r="E298" s="215"/>
      <c r="F298" s="44"/>
      <c r="G298" s="216"/>
      <c r="H298" s="44"/>
      <c r="I298" s="217"/>
      <c r="J298" s="44"/>
    </row>
    <row r="299" ht="12.75" customHeight="1">
      <c r="A299" s="149" t="s">
        <v>166</v>
      </c>
      <c r="B299" s="43"/>
      <c r="C299" s="43"/>
      <c r="D299" s="44"/>
      <c r="E299" s="212"/>
      <c r="F299" s="44"/>
      <c r="G299" s="212"/>
      <c r="H299" s="44"/>
      <c r="I299" s="213"/>
      <c r="J299" s="44"/>
    </row>
    <row r="300" ht="12.75" customHeight="1">
      <c r="A300" s="214" t="s">
        <v>167</v>
      </c>
      <c r="B300" s="43"/>
      <c r="C300" s="43"/>
      <c r="D300" s="44"/>
      <c r="E300" s="215"/>
      <c r="F300" s="44"/>
      <c r="G300" s="216"/>
      <c r="H300" s="44"/>
      <c r="I300" s="217"/>
      <c r="J300" s="44"/>
    </row>
    <row r="301" ht="12.75" customHeight="1">
      <c r="A301" s="149" t="s">
        <v>168</v>
      </c>
      <c r="B301" s="43"/>
      <c r="C301" s="43"/>
      <c r="D301" s="44"/>
      <c r="E301" s="218"/>
      <c r="F301" s="44"/>
      <c r="G301" s="218"/>
      <c r="H301" s="44"/>
      <c r="I301" s="219"/>
      <c r="J301" s="44"/>
    </row>
    <row r="302" ht="12.75" customHeight="1">
      <c r="A302" s="220"/>
      <c r="B302" s="43"/>
      <c r="C302" s="43"/>
      <c r="D302" s="44"/>
      <c r="E302" s="215"/>
      <c r="F302" s="44"/>
      <c r="G302" s="216"/>
      <c r="H302" s="44"/>
      <c r="I302" s="216"/>
      <c r="J302" s="44"/>
    </row>
    <row r="303" ht="12.75" customHeight="1">
      <c r="A303" s="220"/>
      <c r="B303" s="43"/>
      <c r="C303" s="43"/>
      <c r="D303" s="44"/>
      <c r="E303" s="215"/>
      <c r="F303" s="44"/>
      <c r="G303" s="216"/>
      <c r="H303" s="44"/>
      <c r="I303" s="216"/>
      <c r="J303" s="44"/>
    </row>
    <row r="304" ht="12.75" customHeight="1">
      <c r="A304" s="220"/>
      <c r="B304" s="43"/>
      <c r="C304" s="43"/>
      <c r="D304" s="44"/>
      <c r="E304" s="215"/>
      <c r="F304" s="44"/>
      <c r="G304" s="216"/>
      <c r="H304" s="44"/>
      <c r="I304" s="216"/>
      <c r="J304" s="44"/>
    </row>
    <row r="305" ht="12.75" customHeight="1">
      <c r="A305" s="151" t="s">
        <v>169</v>
      </c>
      <c r="B305" s="43"/>
      <c r="C305" s="43"/>
      <c r="D305" s="44"/>
      <c r="E305" s="221">
        <f>SUM(E295:E304)</f>
        <v>0</v>
      </c>
      <c r="F305" s="44"/>
      <c r="G305" s="221">
        <f>SUM(G295:G304)</f>
        <v>34378</v>
      </c>
      <c r="H305" s="44"/>
      <c r="I305" s="221">
        <f>SUM(I295:I304)</f>
        <v>0</v>
      </c>
      <c r="J305" s="44"/>
    </row>
    <row r="306" ht="12.75" customHeight="1">
      <c r="A306" s="222" t="s">
        <v>170</v>
      </c>
      <c r="B306" s="49"/>
      <c r="C306" s="49"/>
      <c r="D306" s="49"/>
      <c r="E306" s="49"/>
      <c r="F306" s="49"/>
      <c r="G306" s="49"/>
      <c r="H306" s="49"/>
      <c r="I306" s="49"/>
      <c r="J306" s="50"/>
    </row>
    <row r="307" ht="12.75" customHeight="1">
      <c r="A307" s="223" t="s">
        <v>171</v>
      </c>
      <c r="B307" s="56"/>
      <c r="C307" s="56"/>
      <c r="D307" s="56"/>
      <c r="E307" s="56"/>
      <c r="F307" s="56"/>
      <c r="G307" s="56"/>
      <c r="H307" s="56"/>
      <c r="I307" s="56"/>
      <c r="J307" s="57"/>
    </row>
    <row r="308" ht="12.75" customHeight="1">
      <c r="A308" s="223" t="s">
        <v>172</v>
      </c>
      <c r="B308" s="56"/>
      <c r="C308" s="56"/>
      <c r="D308" s="56"/>
      <c r="E308" s="56"/>
      <c r="F308" s="56"/>
      <c r="G308" s="56"/>
      <c r="H308" s="56"/>
      <c r="I308" s="56"/>
      <c r="J308" s="57"/>
    </row>
    <row r="309" ht="12.75" customHeight="1">
      <c r="A309" s="224" t="s">
        <v>173</v>
      </c>
      <c r="B309" s="207"/>
      <c r="C309" s="207"/>
      <c r="D309" s="207"/>
      <c r="E309" s="207"/>
      <c r="F309" s="207"/>
      <c r="G309" s="207"/>
      <c r="H309" s="207"/>
      <c r="I309" s="207"/>
      <c r="J309" s="208"/>
    </row>
    <row r="310" ht="12.75" customHeight="1">
      <c r="A310" s="186" t="s">
        <v>186</v>
      </c>
      <c r="B310" s="8"/>
      <c r="C310" s="8"/>
      <c r="D310" s="8"/>
      <c r="E310" s="8"/>
      <c r="F310" s="8"/>
      <c r="G310" s="8"/>
      <c r="H310" s="8"/>
      <c r="I310" s="8"/>
      <c r="J310" s="9"/>
    </row>
    <row r="311" ht="12.75" customHeight="1">
      <c r="A311" s="10"/>
      <c r="J311" s="31"/>
    </row>
    <row r="312" ht="12.75" customHeight="1">
      <c r="A312" s="10"/>
      <c r="J312" s="31"/>
    </row>
    <row r="313" ht="12.75" customHeight="1">
      <c r="A313" s="10"/>
      <c r="J313" s="31"/>
    </row>
    <row r="314" ht="12.75" customHeight="1">
      <c r="A314" s="10"/>
      <c r="J314" s="31"/>
    </row>
    <row r="315" ht="12.75" customHeight="1">
      <c r="A315" s="10"/>
      <c r="J315" s="31"/>
    </row>
    <row r="316" ht="12.75" customHeight="1">
      <c r="A316" s="10"/>
      <c r="J316" s="31"/>
    </row>
    <row r="317" ht="12.75" customHeight="1">
      <c r="A317" s="10"/>
      <c r="J317" s="31"/>
    </row>
    <row r="318" ht="12.75" customHeight="1">
      <c r="A318" s="10"/>
      <c r="J318" s="31"/>
    </row>
    <row r="319" ht="12.75" customHeight="1">
      <c r="A319" s="10"/>
      <c r="J319" s="31"/>
    </row>
    <row r="320" ht="12.75" customHeight="1">
      <c r="A320" s="10"/>
      <c r="J320" s="31"/>
    </row>
    <row r="321" ht="12.75" customHeight="1">
      <c r="A321" s="10"/>
      <c r="J321" s="31"/>
    </row>
    <row r="322" ht="12.75" customHeight="1">
      <c r="A322" s="10"/>
      <c r="J322" s="31"/>
    </row>
    <row r="323" ht="12.75" customHeight="1">
      <c r="A323" s="10"/>
      <c r="J323" s="31"/>
    </row>
    <row r="324" ht="12.75" customHeight="1">
      <c r="A324" s="10"/>
      <c r="J324" s="31"/>
    </row>
    <row r="325" ht="12.75" customHeight="1">
      <c r="A325" s="10"/>
      <c r="J325" s="31"/>
    </row>
    <row r="326" ht="12.75" customHeight="1">
      <c r="A326" s="10"/>
      <c r="J326" s="31"/>
    </row>
    <row r="327" ht="12.75" customHeight="1">
      <c r="A327" s="10"/>
      <c r="J327" s="31"/>
    </row>
    <row r="328" ht="12.75" customHeight="1">
      <c r="A328" s="10"/>
      <c r="J328" s="31"/>
    </row>
    <row r="329" ht="12.75" customHeight="1">
      <c r="A329" s="10"/>
      <c r="J329" s="31"/>
    </row>
    <row r="330" ht="12.75" customHeight="1">
      <c r="A330" s="10"/>
      <c r="J330" s="31"/>
    </row>
    <row r="331" ht="12.75" customHeight="1">
      <c r="A331" s="10"/>
      <c r="J331" s="31"/>
    </row>
    <row r="332" ht="12.75" customHeight="1">
      <c r="A332" s="10"/>
      <c r="J332" s="31"/>
    </row>
    <row r="333" ht="12.75" customHeight="1">
      <c r="A333" s="10"/>
      <c r="J333" s="31"/>
    </row>
    <row r="334" ht="12.75" customHeight="1">
      <c r="A334" s="10"/>
      <c r="J334" s="31"/>
    </row>
    <row r="335" ht="12.75" customHeight="1">
      <c r="A335" s="10"/>
      <c r="J335" s="31"/>
    </row>
    <row r="336" ht="12.75" customHeight="1">
      <c r="A336" s="10"/>
      <c r="J336" s="31"/>
    </row>
    <row r="337" ht="12.75" customHeight="1">
      <c r="A337" s="10"/>
      <c r="J337" s="31"/>
    </row>
    <row r="338" ht="12.75" customHeight="1">
      <c r="A338" s="10"/>
      <c r="J338" s="31"/>
    </row>
    <row r="339" ht="12.75" customHeight="1">
      <c r="A339" s="10"/>
      <c r="J339" s="31"/>
    </row>
    <row r="340" ht="12.75" customHeight="1">
      <c r="A340" s="10"/>
      <c r="J340" s="31"/>
    </row>
    <row r="341" ht="12.75" customHeight="1">
      <c r="A341" s="10"/>
      <c r="J341" s="31"/>
    </row>
    <row r="342" ht="12.75" customHeight="1">
      <c r="A342" s="10"/>
      <c r="J342" s="31"/>
    </row>
    <row r="343" ht="12.75" customHeight="1">
      <c r="A343" s="10"/>
      <c r="J343" s="31"/>
    </row>
    <row r="344" ht="12.75" customHeight="1">
      <c r="A344" s="21"/>
      <c r="B344" s="53"/>
      <c r="C344" s="53"/>
      <c r="D344" s="53"/>
      <c r="E344" s="53"/>
      <c r="F344" s="53"/>
      <c r="G344" s="53"/>
      <c r="H344" s="53"/>
      <c r="I344" s="53"/>
      <c r="J344" s="54"/>
    </row>
    <row r="345" ht="12.75" customHeight="1"/>
    <row r="346" ht="12.75" customHeight="1">
      <c r="A346" s="127" t="s">
        <v>80</v>
      </c>
      <c r="B346" s="43"/>
      <c r="C346" s="43"/>
      <c r="D346" s="43"/>
      <c r="E346" s="43"/>
      <c r="F346" s="43"/>
      <c r="G346" s="75"/>
      <c r="H346" s="128" t="str">
        <f>'CONTACT INFORMATION'!$A$24</f>
        <v>Amador</v>
      </c>
      <c r="I346" s="43"/>
      <c r="J346" s="44"/>
    </row>
    <row r="347" ht="7.5" customHeight="1">
      <c r="A347" s="228"/>
      <c r="B347" s="228"/>
      <c r="C347" s="228"/>
      <c r="D347" s="228"/>
      <c r="E347" s="228"/>
      <c r="F347" s="228"/>
      <c r="G347" s="228"/>
      <c r="H347" s="228"/>
      <c r="I347" s="228"/>
      <c r="J347" s="228"/>
    </row>
    <row r="348" ht="12.75" customHeight="1">
      <c r="A348" s="203" t="s">
        <v>187</v>
      </c>
      <c r="B348" s="43"/>
      <c r="C348" s="43"/>
      <c r="D348" s="43"/>
      <c r="E348" s="43"/>
      <c r="F348" s="43"/>
      <c r="G348" s="43"/>
      <c r="H348" s="43"/>
      <c r="I348" s="43"/>
      <c r="J348" s="44"/>
    </row>
    <row r="349" ht="12.75" customHeight="1">
      <c r="A349" s="204" t="s">
        <v>155</v>
      </c>
      <c r="B349" s="49"/>
      <c r="C349" s="49"/>
      <c r="D349" s="50"/>
      <c r="E349" s="231"/>
      <c r="F349" s="8"/>
      <c r="G349" s="8"/>
      <c r="H349" s="8"/>
      <c r="I349" s="8"/>
      <c r="J349" s="9"/>
    </row>
    <row r="350" ht="12.75" customHeight="1">
      <c r="A350" s="206" t="s">
        <v>184</v>
      </c>
      <c r="B350" s="207"/>
      <c r="C350" s="207"/>
      <c r="D350" s="208"/>
      <c r="E350" s="21"/>
      <c r="F350" s="53"/>
      <c r="G350" s="53"/>
      <c r="H350" s="53"/>
      <c r="I350" s="53"/>
      <c r="J350" s="54"/>
    </row>
    <row r="351" ht="12.75" customHeight="1">
      <c r="A351" s="209" t="s">
        <v>188</v>
      </c>
      <c r="B351" s="43"/>
      <c r="C351" s="43"/>
      <c r="D351" s="44"/>
      <c r="E351" s="150"/>
      <c r="F351" s="43"/>
      <c r="G351" s="43"/>
      <c r="H351" s="43"/>
      <c r="I351" s="43"/>
      <c r="J351" s="44"/>
    </row>
    <row r="352" ht="27.0" customHeight="1">
      <c r="A352" s="229"/>
      <c r="B352" s="210"/>
      <c r="C352" s="210"/>
      <c r="D352" s="210"/>
      <c r="E352" s="210" t="s">
        <v>159</v>
      </c>
      <c r="F352" s="53"/>
      <c r="G352" s="210" t="s">
        <v>160</v>
      </c>
      <c r="H352" s="53"/>
      <c r="I352" s="211" t="s">
        <v>161</v>
      </c>
      <c r="J352" s="54"/>
    </row>
    <row r="353" ht="12.75" customHeight="1">
      <c r="A353" s="149" t="s">
        <v>162</v>
      </c>
      <c r="B353" s="43"/>
      <c r="C353" s="43"/>
      <c r="D353" s="44"/>
      <c r="E353" s="212"/>
      <c r="F353" s="44"/>
      <c r="G353" s="212"/>
      <c r="H353" s="44"/>
      <c r="I353" s="213"/>
      <c r="J353" s="44"/>
    </row>
    <row r="354" ht="12.75" customHeight="1">
      <c r="A354" s="214" t="s">
        <v>163</v>
      </c>
      <c r="B354" s="43"/>
      <c r="C354" s="43"/>
      <c r="D354" s="44"/>
      <c r="E354" s="215"/>
      <c r="F354" s="44"/>
      <c r="G354" s="216"/>
      <c r="H354" s="44"/>
      <c r="I354" s="217"/>
      <c r="J354" s="44"/>
    </row>
    <row r="355" ht="12.75" customHeight="1">
      <c r="A355" s="149" t="s">
        <v>164</v>
      </c>
      <c r="B355" s="43"/>
      <c r="C355" s="43"/>
      <c r="D355" s="44"/>
      <c r="E355" s="212"/>
      <c r="F355" s="44"/>
      <c r="G355" s="212"/>
      <c r="H355" s="44"/>
      <c r="I355" s="213"/>
      <c r="J355" s="44"/>
    </row>
    <row r="356" ht="12.75" customHeight="1">
      <c r="A356" s="214" t="s">
        <v>165</v>
      </c>
      <c r="B356" s="43"/>
      <c r="C356" s="43"/>
      <c r="D356" s="44"/>
      <c r="E356" s="215"/>
      <c r="F356" s="44"/>
      <c r="G356" s="216"/>
      <c r="H356" s="44"/>
      <c r="I356" s="217"/>
      <c r="J356" s="44"/>
    </row>
    <row r="357" ht="12.75" customHeight="1">
      <c r="A357" s="149" t="s">
        <v>166</v>
      </c>
      <c r="B357" s="43"/>
      <c r="C357" s="43"/>
      <c r="D357" s="44"/>
      <c r="E357" s="212"/>
      <c r="F357" s="44"/>
      <c r="G357" s="212"/>
      <c r="H357" s="44"/>
      <c r="I357" s="213"/>
      <c r="J357" s="44"/>
    </row>
    <row r="358" ht="12.75" customHeight="1">
      <c r="A358" s="214" t="s">
        <v>167</v>
      </c>
      <c r="B358" s="43"/>
      <c r="C358" s="43"/>
      <c r="D358" s="44"/>
      <c r="E358" s="215"/>
      <c r="F358" s="44"/>
      <c r="G358" s="216"/>
      <c r="H358" s="44"/>
      <c r="I358" s="217"/>
      <c r="J358" s="44"/>
    </row>
    <row r="359" ht="12.75" customHeight="1">
      <c r="A359" s="149" t="s">
        <v>168</v>
      </c>
      <c r="B359" s="43"/>
      <c r="C359" s="43"/>
      <c r="D359" s="44"/>
      <c r="E359" s="218"/>
      <c r="F359" s="44"/>
      <c r="G359" s="218"/>
      <c r="H359" s="44"/>
      <c r="I359" s="219"/>
      <c r="J359" s="44"/>
    </row>
    <row r="360" ht="12.75" customHeight="1">
      <c r="A360" s="220"/>
      <c r="B360" s="43"/>
      <c r="C360" s="43"/>
      <c r="D360" s="44"/>
      <c r="E360" s="215"/>
      <c r="F360" s="44"/>
      <c r="G360" s="216"/>
      <c r="H360" s="44"/>
      <c r="I360" s="216"/>
      <c r="J360" s="44"/>
    </row>
    <row r="361" ht="12.75" customHeight="1">
      <c r="A361" s="220"/>
      <c r="B361" s="43"/>
      <c r="C361" s="43"/>
      <c r="D361" s="44"/>
      <c r="E361" s="215"/>
      <c r="F361" s="44"/>
      <c r="G361" s="216"/>
      <c r="H361" s="44"/>
      <c r="I361" s="216"/>
      <c r="J361" s="44"/>
    </row>
    <row r="362" ht="12.75" customHeight="1">
      <c r="A362" s="220"/>
      <c r="B362" s="43"/>
      <c r="C362" s="43"/>
      <c r="D362" s="44"/>
      <c r="E362" s="215"/>
      <c r="F362" s="44"/>
      <c r="G362" s="216"/>
      <c r="H362" s="44"/>
      <c r="I362" s="216"/>
      <c r="J362" s="44"/>
    </row>
    <row r="363" ht="12.75" customHeight="1">
      <c r="A363" s="151" t="s">
        <v>169</v>
      </c>
      <c r="B363" s="43"/>
      <c r="C363" s="43"/>
      <c r="D363" s="44"/>
      <c r="E363" s="221">
        <f>SUM(E353:E362)</f>
        <v>0</v>
      </c>
      <c r="F363" s="44"/>
      <c r="G363" s="221">
        <f>SUM(G353:G362)</f>
        <v>0</v>
      </c>
      <c r="H363" s="44"/>
      <c r="I363" s="221">
        <f>SUM(I353:I362)</f>
        <v>0</v>
      </c>
      <c r="J363" s="44"/>
    </row>
    <row r="364" ht="12.75" customHeight="1">
      <c r="A364" s="222" t="s">
        <v>170</v>
      </c>
      <c r="B364" s="49"/>
      <c r="C364" s="49"/>
      <c r="D364" s="49"/>
      <c r="E364" s="49"/>
      <c r="F364" s="49"/>
      <c r="G364" s="49"/>
      <c r="H364" s="49"/>
      <c r="I364" s="49"/>
      <c r="J364" s="50"/>
    </row>
    <row r="365" ht="12.75" customHeight="1">
      <c r="A365" s="223" t="s">
        <v>171</v>
      </c>
      <c r="B365" s="56"/>
      <c r="C365" s="56"/>
      <c r="D365" s="56"/>
      <c r="E365" s="56"/>
      <c r="F365" s="56"/>
      <c r="G365" s="56"/>
      <c r="H365" s="56"/>
      <c r="I365" s="56"/>
      <c r="J365" s="57"/>
    </row>
    <row r="366" ht="12.75" customHeight="1">
      <c r="A366" s="223" t="s">
        <v>172</v>
      </c>
      <c r="B366" s="56"/>
      <c r="C366" s="56"/>
      <c r="D366" s="56"/>
      <c r="E366" s="56"/>
      <c r="F366" s="56"/>
      <c r="G366" s="56"/>
      <c r="H366" s="56"/>
      <c r="I366" s="56"/>
      <c r="J366" s="57"/>
    </row>
    <row r="367" ht="12.75" customHeight="1">
      <c r="A367" s="224" t="s">
        <v>173</v>
      </c>
      <c r="B367" s="207"/>
      <c r="C367" s="207"/>
      <c r="D367" s="207"/>
      <c r="E367" s="207"/>
      <c r="F367" s="207"/>
      <c r="G367" s="207"/>
      <c r="H367" s="207"/>
      <c r="I367" s="207"/>
      <c r="J367" s="208"/>
    </row>
    <row r="368" ht="12.75" customHeight="1">
      <c r="A368" s="118"/>
      <c r="B368" s="8"/>
      <c r="C368" s="8"/>
      <c r="D368" s="8"/>
      <c r="E368" s="8"/>
      <c r="F368" s="8"/>
      <c r="G368" s="8"/>
      <c r="H368" s="8"/>
      <c r="I368" s="8"/>
      <c r="J368" s="9"/>
    </row>
    <row r="369" ht="12.75" customHeight="1">
      <c r="A369" s="10"/>
      <c r="J369" s="31"/>
    </row>
    <row r="370" ht="12.75" customHeight="1">
      <c r="A370" s="10"/>
      <c r="J370" s="31"/>
    </row>
    <row r="371" ht="12.75" customHeight="1">
      <c r="A371" s="10"/>
      <c r="J371" s="31"/>
    </row>
    <row r="372" ht="12.75" customHeight="1">
      <c r="A372" s="10"/>
      <c r="J372" s="31"/>
    </row>
    <row r="373" ht="12.75" customHeight="1">
      <c r="A373" s="10"/>
      <c r="J373" s="31"/>
    </row>
    <row r="374" ht="12.75" customHeight="1">
      <c r="A374" s="10"/>
      <c r="J374" s="31"/>
    </row>
    <row r="375" ht="12.75" customHeight="1">
      <c r="A375" s="10"/>
      <c r="J375" s="31"/>
    </row>
    <row r="376" ht="12.75" customHeight="1">
      <c r="A376" s="10"/>
      <c r="J376" s="31"/>
    </row>
    <row r="377" ht="12.75" customHeight="1">
      <c r="A377" s="10"/>
      <c r="J377" s="31"/>
    </row>
    <row r="378" ht="12.75" customHeight="1">
      <c r="A378" s="10"/>
      <c r="J378" s="31"/>
    </row>
    <row r="379" ht="12.75" customHeight="1">
      <c r="A379" s="10"/>
      <c r="J379" s="31"/>
    </row>
    <row r="380" ht="12.75" customHeight="1">
      <c r="A380" s="10"/>
      <c r="J380" s="31"/>
    </row>
    <row r="381" ht="12.75" customHeight="1">
      <c r="A381" s="10"/>
      <c r="J381" s="31"/>
    </row>
    <row r="382" ht="12.75" customHeight="1">
      <c r="A382" s="10"/>
      <c r="J382" s="31"/>
    </row>
    <row r="383" ht="12.75" customHeight="1">
      <c r="A383" s="10"/>
      <c r="J383" s="31"/>
    </row>
    <row r="384" ht="12.75" customHeight="1">
      <c r="A384" s="10"/>
      <c r="J384" s="31"/>
    </row>
    <row r="385" ht="12.75" customHeight="1">
      <c r="A385" s="10"/>
      <c r="J385" s="31"/>
    </row>
    <row r="386" ht="12.75" customHeight="1">
      <c r="A386" s="10"/>
      <c r="J386" s="31"/>
    </row>
    <row r="387" ht="12.75" customHeight="1">
      <c r="A387" s="10"/>
      <c r="J387" s="31"/>
    </row>
    <row r="388" ht="12.75" customHeight="1">
      <c r="A388" s="10"/>
      <c r="J388" s="31"/>
    </row>
    <row r="389" ht="12.75" customHeight="1">
      <c r="A389" s="10"/>
      <c r="J389" s="31"/>
    </row>
    <row r="390" ht="12.75" customHeight="1">
      <c r="A390" s="10"/>
      <c r="J390" s="31"/>
    </row>
    <row r="391" ht="12.75" customHeight="1">
      <c r="A391" s="10"/>
      <c r="J391" s="31"/>
    </row>
    <row r="392" ht="12.75" customHeight="1">
      <c r="A392" s="10"/>
      <c r="J392" s="31"/>
    </row>
    <row r="393" ht="12.75" customHeight="1">
      <c r="A393" s="10"/>
      <c r="J393" s="31"/>
    </row>
    <row r="394" ht="12.75" customHeight="1">
      <c r="A394" s="10"/>
      <c r="J394" s="31"/>
    </row>
    <row r="395" ht="12.75" customHeight="1">
      <c r="A395" s="10"/>
      <c r="J395" s="31"/>
    </row>
    <row r="396" ht="12.75" customHeight="1">
      <c r="A396" s="10"/>
      <c r="J396" s="31"/>
    </row>
    <row r="397" ht="12.75" customHeight="1">
      <c r="A397" s="10"/>
      <c r="J397" s="31"/>
    </row>
    <row r="398" ht="12.75" customHeight="1">
      <c r="A398" s="10"/>
      <c r="J398" s="31"/>
    </row>
    <row r="399" ht="12.75" customHeight="1">
      <c r="A399" s="10"/>
      <c r="J399" s="31"/>
    </row>
    <row r="400" ht="12.75" customHeight="1">
      <c r="A400" s="10"/>
      <c r="J400" s="31"/>
    </row>
    <row r="401" ht="12.75" customHeight="1">
      <c r="A401" s="10"/>
      <c r="J401" s="31"/>
    </row>
    <row r="402" ht="12.75" customHeight="1">
      <c r="A402" s="21"/>
      <c r="B402" s="53"/>
      <c r="C402" s="53"/>
      <c r="D402" s="53"/>
      <c r="E402" s="53"/>
      <c r="F402" s="53"/>
      <c r="G402" s="53"/>
      <c r="H402" s="53"/>
      <c r="I402" s="53"/>
      <c r="J402" s="54"/>
    </row>
    <row r="403" ht="12.75" customHeight="1"/>
    <row r="404" ht="12.75" customHeight="1">
      <c r="A404" s="127" t="s">
        <v>80</v>
      </c>
      <c r="B404" s="43"/>
      <c r="C404" s="43"/>
      <c r="D404" s="43"/>
      <c r="E404" s="43"/>
      <c r="F404" s="43"/>
      <c r="G404" s="75"/>
      <c r="H404" s="128" t="str">
        <f>'CONTACT INFORMATION'!$A$24</f>
        <v>Amador</v>
      </c>
      <c r="I404" s="43"/>
      <c r="J404" s="44"/>
    </row>
    <row r="405" ht="7.5" customHeight="1">
      <c r="A405" s="228"/>
      <c r="B405" s="228"/>
      <c r="C405" s="228"/>
      <c r="D405" s="228"/>
      <c r="E405" s="228"/>
      <c r="F405" s="228"/>
      <c r="G405" s="228"/>
      <c r="H405" s="228"/>
      <c r="I405" s="228"/>
      <c r="J405" s="228"/>
    </row>
    <row r="406" ht="12.75" customHeight="1">
      <c r="A406" s="203" t="s">
        <v>189</v>
      </c>
      <c r="B406" s="43"/>
      <c r="C406" s="43"/>
      <c r="D406" s="43"/>
      <c r="E406" s="43"/>
      <c r="F406" s="43"/>
      <c r="G406" s="43"/>
      <c r="H406" s="43"/>
      <c r="I406" s="43"/>
      <c r="J406" s="44"/>
    </row>
    <row r="407" ht="12.75" customHeight="1">
      <c r="A407" s="204" t="s">
        <v>155</v>
      </c>
      <c r="B407" s="49"/>
      <c r="C407" s="49"/>
      <c r="D407" s="50"/>
      <c r="E407" s="231"/>
      <c r="F407" s="8"/>
      <c r="G407" s="8"/>
      <c r="H407" s="8"/>
      <c r="I407" s="8"/>
      <c r="J407" s="9"/>
    </row>
    <row r="408" ht="12.75" customHeight="1">
      <c r="A408" s="206" t="s">
        <v>184</v>
      </c>
      <c r="B408" s="207"/>
      <c r="C408" s="207"/>
      <c r="D408" s="208"/>
      <c r="E408" s="21"/>
      <c r="F408" s="53"/>
      <c r="G408" s="53"/>
      <c r="H408" s="53"/>
      <c r="I408" s="53"/>
      <c r="J408" s="54"/>
    </row>
    <row r="409" ht="12.75" customHeight="1">
      <c r="A409" s="209" t="s">
        <v>190</v>
      </c>
      <c r="B409" s="43"/>
      <c r="C409" s="43"/>
      <c r="D409" s="44"/>
      <c r="E409" s="150"/>
      <c r="F409" s="43"/>
      <c r="G409" s="43"/>
      <c r="H409" s="43"/>
      <c r="I409" s="43"/>
      <c r="J409" s="44"/>
    </row>
    <row r="410" ht="27.0" customHeight="1">
      <c r="A410" s="229"/>
      <c r="B410" s="210"/>
      <c r="C410" s="210"/>
      <c r="D410" s="210"/>
      <c r="E410" s="210" t="s">
        <v>159</v>
      </c>
      <c r="F410" s="53"/>
      <c r="G410" s="210" t="s">
        <v>160</v>
      </c>
      <c r="H410" s="53"/>
      <c r="I410" s="211" t="s">
        <v>161</v>
      </c>
      <c r="J410" s="54"/>
    </row>
    <row r="411" ht="12.75" customHeight="1">
      <c r="A411" s="149" t="s">
        <v>162</v>
      </c>
      <c r="B411" s="43"/>
      <c r="C411" s="43"/>
      <c r="D411" s="44"/>
      <c r="E411" s="212"/>
      <c r="F411" s="44"/>
      <c r="G411" s="212"/>
      <c r="H411" s="44"/>
      <c r="I411" s="213"/>
      <c r="J411" s="44"/>
    </row>
    <row r="412" ht="12.75" customHeight="1">
      <c r="A412" s="214" t="s">
        <v>163</v>
      </c>
      <c r="B412" s="43"/>
      <c r="C412" s="43"/>
      <c r="D412" s="44"/>
      <c r="E412" s="215"/>
      <c r="F412" s="44"/>
      <c r="G412" s="216"/>
      <c r="H412" s="44"/>
      <c r="I412" s="217"/>
      <c r="J412" s="44"/>
    </row>
    <row r="413" ht="12.75" customHeight="1">
      <c r="A413" s="149" t="s">
        <v>164</v>
      </c>
      <c r="B413" s="43"/>
      <c r="C413" s="43"/>
      <c r="D413" s="44"/>
      <c r="E413" s="212"/>
      <c r="F413" s="44"/>
      <c r="G413" s="212"/>
      <c r="H413" s="44"/>
      <c r="I413" s="213"/>
      <c r="J413" s="44"/>
    </row>
    <row r="414" ht="12.75" customHeight="1">
      <c r="A414" s="214" t="s">
        <v>165</v>
      </c>
      <c r="B414" s="43"/>
      <c r="C414" s="43"/>
      <c r="D414" s="44"/>
      <c r="E414" s="215"/>
      <c r="F414" s="44"/>
      <c r="G414" s="216"/>
      <c r="H414" s="44"/>
      <c r="I414" s="217"/>
      <c r="J414" s="44"/>
    </row>
    <row r="415" ht="12.75" customHeight="1">
      <c r="A415" s="149" t="s">
        <v>166</v>
      </c>
      <c r="B415" s="43"/>
      <c r="C415" s="43"/>
      <c r="D415" s="44"/>
      <c r="E415" s="212"/>
      <c r="F415" s="44"/>
      <c r="G415" s="212"/>
      <c r="H415" s="44"/>
      <c r="I415" s="213"/>
      <c r="J415" s="44"/>
    </row>
    <row r="416" ht="12.75" customHeight="1">
      <c r="A416" s="214" t="s">
        <v>167</v>
      </c>
      <c r="B416" s="43"/>
      <c r="C416" s="43"/>
      <c r="D416" s="44"/>
      <c r="E416" s="215"/>
      <c r="F416" s="44"/>
      <c r="G416" s="216"/>
      <c r="H416" s="44"/>
      <c r="I416" s="217"/>
      <c r="J416" s="44"/>
    </row>
    <row r="417" ht="12.75" customHeight="1">
      <c r="A417" s="149" t="s">
        <v>168</v>
      </c>
      <c r="B417" s="43"/>
      <c r="C417" s="43"/>
      <c r="D417" s="44"/>
      <c r="E417" s="218"/>
      <c r="F417" s="44"/>
      <c r="G417" s="218"/>
      <c r="H417" s="44"/>
      <c r="I417" s="219"/>
      <c r="J417" s="44"/>
    </row>
    <row r="418" ht="12.75" customHeight="1">
      <c r="A418" s="220"/>
      <c r="B418" s="43"/>
      <c r="C418" s="43"/>
      <c r="D418" s="44"/>
      <c r="E418" s="215"/>
      <c r="F418" s="44"/>
      <c r="G418" s="216"/>
      <c r="H418" s="44"/>
      <c r="I418" s="216"/>
      <c r="J418" s="44"/>
    </row>
    <row r="419" ht="12.75" customHeight="1">
      <c r="A419" s="220"/>
      <c r="B419" s="43"/>
      <c r="C419" s="43"/>
      <c r="D419" s="44"/>
      <c r="E419" s="215"/>
      <c r="F419" s="44"/>
      <c r="G419" s="216"/>
      <c r="H419" s="44"/>
      <c r="I419" s="216"/>
      <c r="J419" s="44"/>
    </row>
    <row r="420" ht="12.75" customHeight="1">
      <c r="A420" s="220"/>
      <c r="B420" s="43"/>
      <c r="C420" s="43"/>
      <c r="D420" s="44"/>
      <c r="E420" s="215"/>
      <c r="F420" s="44"/>
      <c r="G420" s="216"/>
      <c r="H420" s="44"/>
      <c r="I420" s="216"/>
      <c r="J420" s="44"/>
    </row>
    <row r="421" ht="12.75" customHeight="1">
      <c r="A421" s="151" t="s">
        <v>169</v>
      </c>
      <c r="B421" s="43"/>
      <c r="C421" s="43"/>
      <c r="D421" s="44"/>
      <c r="E421" s="221">
        <f>SUM(E411:E420)</f>
        <v>0</v>
      </c>
      <c r="F421" s="44"/>
      <c r="G421" s="221">
        <f>SUM(G411:G420)</f>
        <v>0</v>
      </c>
      <c r="H421" s="44"/>
      <c r="I421" s="221">
        <f>SUM(I411:I420)</f>
        <v>0</v>
      </c>
      <c r="J421" s="44"/>
    </row>
    <row r="422" ht="12.75" customHeight="1">
      <c r="A422" s="222" t="s">
        <v>170</v>
      </c>
      <c r="B422" s="49"/>
      <c r="C422" s="49"/>
      <c r="D422" s="49"/>
      <c r="E422" s="49"/>
      <c r="F422" s="49"/>
      <c r="G422" s="49"/>
      <c r="H422" s="49"/>
      <c r="I422" s="49"/>
      <c r="J422" s="50"/>
    </row>
    <row r="423" ht="12.75" customHeight="1">
      <c r="A423" s="223" t="s">
        <v>171</v>
      </c>
      <c r="B423" s="56"/>
      <c r="C423" s="56"/>
      <c r="D423" s="56"/>
      <c r="E423" s="56"/>
      <c r="F423" s="56"/>
      <c r="G423" s="56"/>
      <c r="H423" s="56"/>
      <c r="I423" s="56"/>
      <c r="J423" s="57"/>
    </row>
    <row r="424" ht="12.75" customHeight="1">
      <c r="A424" s="223" t="s">
        <v>172</v>
      </c>
      <c r="B424" s="56"/>
      <c r="C424" s="56"/>
      <c r="D424" s="56"/>
      <c r="E424" s="56"/>
      <c r="F424" s="56"/>
      <c r="G424" s="56"/>
      <c r="H424" s="56"/>
      <c r="I424" s="56"/>
      <c r="J424" s="57"/>
    </row>
    <row r="425" ht="12.75" customHeight="1">
      <c r="A425" s="224" t="s">
        <v>173</v>
      </c>
      <c r="B425" s="207"/>
      <c r="C425" s="207"/>
      <c r="D425" s="207"/>
      <c r="E425" s="207"/>
      <c r="F425" s="207"/>
      <c r="G425" s="207"/>
      <c r="H425" s="207"/>
      <c r="I425" s="207"/>
      <c r="J425" s="208"/>
    </row>
    <row r="426" ht="12.75" customHeight="1">
      <c r="A426" s="118"/>
      <c r="B426" s="8"/>
      <c r="C426" s="8"/>
      <c r="D426" s="8"/>
      <c r="E426" s="8"/>
      <c r="F426" s="8"/>
      <c r="G426" s="8"/>
      <c r="H426" s="8"/>
      <c r="I426" s="8"/>
      <c r="J426" s="9"/>
    </row>
    <row r="427" ht="12.75" customHeight="1">
      <c r="A427" s="10"/>
      <c r="J427" s="31"/>
    </row>
    <row r="428" ht="12.75" customHeight="1">
      <c r="A428" s="10"/>
      <c r="J428" s="31"/>
    </row>
    <row r="429" ht="12.75" customHeight="1">
      <c r="A429" s="10"/>
      <c r="J429" s="31"/>
    </row>
    <row r="430" ht="12.75" customHeight="1">
      <c r="A430" s="10"/>
      <c r="J430" s="31"/>
    </row>
    <row r="431" ht="12.75" customHeight="1">
      <c r="A431" s="10"/>
      <c r="J431" s="31"/>
    </row>
    <row r="432" ht="12.75" customHeight="1">
      <c r="A432" s="10"/>
      <c r="J432" s="31"/>
    </row>
    <row r="433" ht="12.75" customHeight="1">
      <c r="A433" s="10"/>
      <c r="J433" s="31"/>
    </row>
    <row r="434" ht="12.75" customHeight="1">
      <c r="A434" s="10"/>
      <c r="J434" s="31"/>
    </row>
    <row r="435" ht="12.75" customHeight="1">
      <c r="A435" s="10"/>
      <c r="J435" s="31"/>
    </row>
    <row r="436" ht="12.75" customHeight="1">
      <c r="A436" s="10"/>
      <c r="J436" s="31"/>
    </row>
    <row r="437" ht="12.75" customHeight="1">
      <c r="A437" s="10"/>
      <c r="J437" s="31"/>
    </row>
    <row r="438" ht="12.75" customHeight="1">
      <c r="A438" s="10"/>
      <c r="J438" s="31"/>
    </row>
    <row r="439" ht="12.75" customHeight="1">
      <c r="A439" s="10"/>
      <c r="J439" s="31"/>
    </row>
    <row r="440" ht="12.75" customHeight="1">
      <c r="A440" s="10"/>
      <c r="J440" s="31"/>
    </row>
    <row r="441" ht="12.75" customHeight="1">
      <c r="A441" s="10"/>
      <c r="J441" s="31"/>
    </row>
    <row r="442" ht="12.75" customHeight="1">
      <c r="A442" s="10"/>
      <c r="J442" s="31"/>
    </row>
    <row r="443" ht="12.75" customHeight="1">
      <c r="A443" s="10"/>
      <c r="J443" s="31"/>
    </row>
    <row r="444" ht="12.75" customHeight="1">
      <c r="A444" s="10"/>
      <c r="J444" s="31"/>
    </row>
    <row r="445" ht="12.75" customHeight="1">
      <c r="A445" s="10"/>
      <c r="J445" s="31"/>
    </row>
    <row r="446" ht="12.75" customHeight="1">
      <c r="A446" s="10"/>
      <c r="J446" s="31"/>
    </row>
    <row r="447" ht="12.75" customHeight="1">
      <c r="A447" s="10"/>
      <c r="J447" s="31"/>
    </row>
    <row r="448" ht="12.75" customHeight="1">
      <c r="A448" s="10"/>
      <c r="J448" s="31"/>
    </row>
    <row r="449" ht="12.75" customHeight="1">
      <c r="A449" s="10"/>
      <c r="J449" s="31"/>
    </row>
    <row r="450" ht="12.75" customHeight="1">
      <c r="A450" s="10"/>
      <c r="J450" s="31"/>
    </row>
    <row r="451" ht="12.75" customHeight="1">
      <c r="A451" s="10"/>
      <c r="J451" s="31"/>
    </row>
    <row r="452" ht="12.75" customHeight="1">
      <c r="A452" s="10"/>
      <c r="J452" s="31"/>
    </row>
    <row r="453" ht="12.75" customHeight="1">
      <c r="A453" s="10"/>
      <c r="J453" s="31"/>
    </row>
    <row r="454" ht="12.75" customHeight="1">
      <c r="A454" s="10"/>
      <c r="J454" s="31"/>
    </row>
    <row r="455" ht="12.75" customHeight="1">
      <c r="A455" s="10"/>
      <c r="J455" s="31"/>
    </row>
    <row r="456" ht="12.75" customHeight="1">
      <c r="A456" s="10"/>
      <c r="J456" s="31"/>
    </row>
    <row r="457" ht="12.75" customHeight="1">
      <c r="A457" s="10"/>
      <c r="J457" s="31"/>
    </row>
    <row r="458" ht="12.75" customHeight="1">
      <c r="A458" s="10"/>
      <c r="J458" s="31"/>
    </row>
    <row r="459" ht="12.75" customHeight="1">
      <c r="A459" s="10"/>
      <c r="J459" s="31"/>
    </row>
    <row r="460" ht="12.75" customHeight="1">
      <c r="A460" s="21"/>
      <c r="B460" s="53"/>
      <c r="C460" s="53"/>
      <c r="D460" s="53"/>
      <c r="E460" s="53"/>
      <c r="F460" s="53"/>
      <c r="G460" s="53"/>
      <c r="H460" s="53"/>
      <c r="I460" s="53"/>
      <c r="J460" s="54"/>
    </row>
    <row r="461" ht="12.75" customHeight="1"/>
    <row r="462" ht="12.75" customHeight="1">
      <c r="A462" s="127" t="s">
        <v>80</v>
      </c>
      <c r="B462" s="43"/>
      <c r="C462" s="43"/>
      <c r="D462" s="43"/>
      <c r="E462" s="43"/>
      <c r="F462" s="43"/>
      <c r="G462" s="75"/>
      <c r="H462" s="128" t="str">
        <f>'CONTACT INFORMATION'!$A$24</f>
        <v>Amador</v>
      </c>
      <c r="I462" s="43"/>
      <c r="J462" s="44"/>
    </row>
    <row r="463" ht="7.5" customHeight="1">
      <c r="A463" s="228"/>
      <c r="B463" s="228"/>
      <c r="C463" s="228"/>
      <c r="D463" s="228"/>
      <c r="E463" s="228"/>
      <c r="F463" s="228"/>
      <c r="G463" s="228"/>
      <c r="H463" s="228"/>
      <c r="I463" s="228"/>
      <c r="J463" s="228"/>
    </row>
    <row r="464" ht="12.75" customHeight="1">
      <c r="A464" s="203" t="s">
        <v>191</v>
      </c>
      <c r="B464" s="43"/>
      <c r="C464" s="43"/>
      <c r="D464" s="43"/>
      <c r="E464" s="43"/>
      <c r="F464" s="43"/>
      <c r="G464" s="43"/>
      <c r="H464" s="43"/>
      <c r="I464" s="43"/>
      <c r="J464" s="44"/>
    </row>
    <row r="465" ht="12.75" customHeight="1">
      <c r="A465" s="204" t="s">
        <v>155</v>
      </c>
      <c r="B465" s="49"/>
      <c r="C465" s="49"/>
      <c r="D465" s="50"/>
      <c r="E465" s="231"/>
      <c r="F465" s="8"/>
      <c r="G465" s="8"/>
      <c r="H465" s="8"/>
      <c r="I465" s="8"/>
      <c r="J465" s="9"/>
    </row>
    <row r="466" ht="12.75" customHeight="1">
      <c r="A466" s="206" t="s">
        <v>184</v>
      </c>
      <c r="B466" s="207"/>
      <c r="C466" s="207"/>
      <c r="D466" s="208"/>
      <c r="E466" s="21"/>
      <c r="F466" s="53"/>
      <c r="G466" s="53"/>
      <c r="H466" s="53"/>
      <c r="I466" s="53"/>
      <c r="J466" s="54"/>
    </row>
    <row r="467" ht="12.75" customHeight="1">
      <c r="A467" s="209" t="s">
        <v>192</v>
      </c>
      <c r="B467" s="43"/>
      <c r="C467" s="43"/>
      <c r="D467" s="44"/>
      <c r="E467" s="150"/>
      <c r="F467" s="43"/>
      <c r="G467" s="43"/>
      <c r="H467" s="43"/>
      <c r="I467" s="43"/>
      <c r="J467" s="44"/>
    </row>
    <row r="468" ht="27.0" customHeight="1">
      <c r="A468" s="229"/>
      <c r="B468" s="210"/>
      <c r="C468" s="210"/>
      <c r="D468" s="210"/>
      <c r="E468" s="210" t="s">
        <v>159</v>
      </c>
      <c r="F468" s="53"/>
      <c r="G468" s="210" t="s">
        <v>160</v>
      </c>
      <c r="H468" s="53"/>
      <c r="I468" s="211" t="s">
        <v>161</v>
      </c>
      <c r="J468" s="54"/>
    </row>
    <row r="469" ht="12.75" customHeight="1">
      <c r="A469" s="149" t="s">
        <v>162</v>
      </c>
      <c r="B469" s="43"/>
      <c r="C469" s="43"/>
      <c r="D469" s="44"/>
      <c r="E469" s="212"/>
      <c r="F469" s="44"/>
      <c r="G469" s="212"/>
      <c r="H469" s="44"/>
      <c r="I469" s="213"/>
      <c r="J469" s="44"/>
    </row>
    <row r="470" ht="12.75" customHeight="1">
      <c r="A470" s="214" t="s">
        <v>163</v>
      </c>
      <c r="B470" s="43"/>
      <c r="C470" s="43"/>
      <c r="D470" s="44"/>
      <c r="E470" s="215"/>
      <c r="F470" s="44"/>
      <c r="G470" s="216"/>
      <c r="H470" s="44"/>
      <c r="I470" s="217"/>
      <c r="J470" s="44"/>
    </row>
    <row r="471" ht="12.75" customHeight="1">
      <c r="A471" s="149" t="s">
        <v>164</v>
      </c>
      <c r="B471" s="43"/>
      <c r="C471" s="43"/>
      <c r="D471" s="44"/>
      <c r="E471" s="212"/>
      <c r="F471" s="44"/>
      <c r="G471" s="212"/>
      <c r="H471" s="44"/>
      <c r="I471" s="213"/>
      <c r="J471" s="44"/>
    </row>
    <row r="472" ht="12.75" customHeight="1">
      <c r="A472" s="214" t="s">
        <v>165</v>
      </c>
      <c r="B472" s="43"/>
      <c r="C472" s="43"/>
      <c r="D472" s="44"/>
      <c r="E472" s="215"/>
      <c r="F472" s="44"/>
      <c r="G472" s="216"/>
      <c r="H472" s="44"/>
      <c r="I472" s="217"/>
      <c r="J472" s="44"/>
    </row>
    <row r="473" ht="12.75" customHeight="1">
      <c r="A473" s="149" t="s">
        <v>166</v>
      </c>
      <c r="B473" s="43"/>
      <c r="C473" s="43"/>
      <c r="D473" s="44"/>
      <c r="E473" s="212"/>
      <c r="F473" s="44"/>
      <c r="G473" s="212"/>
      <c r="H473" s="44"/>
      <c r="I473" s="213"/>
      <c r="J473" s="44"/>
    </row>
    <row r="474" ht="12.75" customHeight="1">
      <c r="A474" s="214" t="s">
        <v>167</v>
      </c>
      <c r="B474" s="43"/>
      <c r="C474" s="43"/>
      <c r="D474" s="44"/>
      <c r="E474" s="215"/>
      <c r="F474" s="44"/>
      <c r="G474" s="216"/>
      <c r="H474" s="44"/>
      <c r="I474" s="217"/>
      <c r="J474" s="44"/>
    </row>
    <row r="475" ht="12.75" customHeight="1">
      <c r="A475" s="149" t="s">
        <v>168</v>
      </c>
      <c r="B475" s="43"/>
      <c r="C475" s="43"/>
      <c r="D475" s="44"/>
      <c r="E475" s="218"/>
      <c r="F475" s="44"/>
      <c r="G475" s="218"/>
      <c r="H475" s="44"/>
      <c r="I475" s="219"/>
      <c r="J475" s="44"/>
    </row>
    <row r="476" ht="12.75" customHeight="1">
      <c r="A476" s="220"/>
      <c r="B476" s="43"/>
      <c r="C476" s="43"/>
      <c r="D476" s="44"/>
      <c r="E476" s="215"/>
      <c r="F476" s="44"/>
      <c r="G476" s="216"/>
      <c r="H476" s="44"/>
      <c r="I476" s="216"/>
      <c r="J476" s="44"/>
    </row>
    <row r="477" ht="12.75" customHeight="1">
      <c r="A477" s="220"/>
      <c r="B477" s="43"/>
      <c r="C477" s="43"/>
      <c r="D477" s="44"/>
      <c r="E477" s="215"/>
      <c r="F477" s="44"/>
      <c r="G477" s="216"/>
      <c r="H477" s="44"/>
      <c r="I477" s="216"/>
      <c r="J477" s="44"/>
    </row>
    <row r="478" ht="12.75" customHeight="1">
      <c r="A478" s="220"/>
      <c r="B478" s="43"/>
      <c r="C478" s="43"/>
      <c r="D478" s="44"/>
      <c r="E478" s="215"/>
      <c r="F478" s="44"/>
      <c r="G478" s="216"/>
      <c r="H478" s="44"/>
      <c r="I478" s="216"/>
      <c r="J478" s="44"/>
    </row>
    <row r="479" ht="12.75" customHeight="1">
      <c r="A479" s="151" t="s">
        <v>169</v>
      </c>
      <c r="B479" s="43"/>
      <c r="C479" s="43"/>
      <c r="D479" s="44"/>
      <c r="E479" s="221">
        <f>SUM(E469:E478)</f>
        <v>0</v>
      </c>
      <c r="F479" s="44"/>
      <c r="G479" s="221">
        <f>SUM(G469:G478)</f>
        <v>0</v>
      </c>
      <c r="H479" s="44"/>
      <c r="I479" s="221">
        <f>SUM(I469:I478)</f>
        <v>0</v>
      </c>
      <c r="J479" s="44"/>
    </row>
    <row r="480" ht="12.75" customHeight="1">
      <c r="A480" s="222" t="s">
        <v>170</v>
      </c>
      <c r="B480" s="49"/>
      <c r="C480" s="49"/>
      <c r="D480" s="49"/>
      <c r="E480" s="49"/>
      <c r="F480" s="49"/>
      <c r="G480" s="49"/>
      <c r="H480" s="49"/>
      <c r="I480" s="49"/>
      <c r="J480" s="50"/>
    </row>
    <row r="481" ht="12.75" customHeight="1">
      <c r="A481" s="223" t="s">
        <v>171</v>
      </c>
      <c r="B481" s="56"/>
      <c r="C481" s="56"/>
      <c r="D481" s="56"/>
      <c r="E481" s="56"/>
      <c r="F481" s="56"/>
      <c r="G481" s="56"/>
      <c r="H481" s="56"/>
      <c r="I481" s="56"/>
      <c r="J481" s="57"/>
    </row>
    <row r="482" ht="12.75" customHeight="1">
      <c r="A482" s="223" t="s">
        <v>172</v>
      </c>
      <c r="B482" s="56"/>
      <c r="C482" s="56"/>
      <c r="D482" s="56"/>
      <c r="E482" s="56"/>
      <c r="F482" s="56"/>
      <c r="G482" s="56"/>
      <c r="H482" s="56"/>
      <c r="I482" s="56"/>
      <c r="J482" s="57"/>
    </row>
    <row r="483" ht="12.75" customHeight="1">
      <c r="A483" s="224" t="s">
        <v>173</v>
      </c>
      <c r="B483" s="207"/>
      <c r="C483" s="207"/>
      <c r="D483" s="207"/>
      <c r="E483" s="207"/>
      <c r="F483" s="207"/>
      <c r="G483" s="207"/>
      <c r="H483" s="207"/>
      <c r="I483" s="207"/>
      <c r="J483" s="208"/>
    </row>
    <row r="484" ht="12.75" customHeight="1">
      <c r="A484" s="118"/>
      <c r="B484" s="8"/>
      <c r="C484" s="8"/>
      <c r="D484" s="8"/>
      <c r="E484" s="8"/>
      <c r="F484" s="8"/>
      <c r="G484" s="8"/>
      <c r="H484" s="8"/>
      <c r="I484" s="8"/>
      <c r="J484" s="9"/>
    </row>
    <row r="485" ht="12.75" customHeight="1">
      <c r="A485" s="10"/>
      <c r="J485" s="31"/>
    </row>
    <row r="486" ht="12.75" customHeight="1">
      <c r="A486" s="10"/>
      <c r="J486" s="31"/>
    </row>
    <row r="487" ht="12.75" customHeight="1">
      <c r="A487" s="10"/>
      <c r="J487" s="31"/>
    </row>
    <row r="488" ht="12.75" customHeight="1">
      <c r="A488" s="10"/>
      <c r="J488" s="31"/>
    </row>
    <row r="489" ht="12.75" customHeight="1">
      <c r="A489" s="10"/>
      <c r="J489" s="31"/>
    </row>
    <row r="490" ht="12.75" customHeight="1">
      <c r="A490" s="10"/>
      <c r="J490" s="31"/>
    </row>
    <row r="491" ht="12.75" customHeight="1">
      <c r="A491" s="10"/>
      <c r="J491" s="31"/>
    </row>
    <row r="492" ht="12.75" customHeight="1">
      <c r="A492" s="10"/>
      <c r="J492" s="31"/>
    </row>
    <row r="493" ht="12.75" customHeight="1">
      <c r="A493" s="10"/>
      <c r="J493" s="31"/>
    </row>
    <row r="494" ht="12.75" customHeight="1">
      <c r="A494" s="10"/>
      <c r="J494" s="31"/>
    </row>
    <row r="495" ht="12.75" customHeight="1">
      <c r="A495" s="10"/>
      <c r="J495" s="31"/>
    </row>
    <row r="496" ht="12.75" customHeight="1">
      <c r="A496" s="10"/>
      <c r="J496" s="31"/>
    </row>
    <row r="497" ht="12.75" customHeight="1">
      <c r="A497" s="10"/>
      <c r="J497" s="31"/>
    </row>
    <row r="498" ht="12.75" customHeight="1">
      <c r="A498" s="10"/>
      <c r="J498" s="31"/>
    </row>
    <row r="499" ht="12.75" customHeight="1">
      <c r="A499" s="10"/>
      <c r="J499" s="31"/>
    </row>
    <row r="500" ht="12.75" customHeight="1">
      <c r="A500" s="10"/>
      <c r="J500" s="31"/>
    </row>
    <row r="501" ht="12.75" customHeight="1">
      <c r="A501" s="10"/>
      <c r="J501" s="31"/>
    </row>
    <row r="502" ht="12.75" customHeight="1">
      <c r="A502" s="10"/>
      <c r="J502" s="31"/>
    </row>
    <row r="503" ht="12.75" customHeight="1">
      <c r="A503" s="10"/>
      <c r="J503" s="31"/>
    </row>
    <row r="504" ht="12.75" customHeight="1">
      <c r="A504" s="10"/>
      <c r="J504" s="31"/>
    </row>
    <row r="505" ht="12.75" customHeight="1">
      <c r="A505" s="10"/>
      <c r="J505" s="31"/>
    </row>
    <row r="506" ht="12.75" customHeight="1">
      <c r="A506" s="10"/>
      <c r="J506" s="31"/>
    </row>
    <row r="507" ht="12.75" customHeight="1">
      <c r="A507" s="10"/>
      <c r="J507" s="31"/>
    </row>
    <row r="508" ht="12.75" customHeight="1">
      <c r="A508" s="10"/>
      <c r="J508" s="31"/>
    </row>
    <row r="509" ht="12.75" customHeight="1">
      <c r="A509" s="10"/>
      <c r="J509" s="31"/>
    </row>
    <row r="510" ht="12.75" customHeight="1">
      <c r="A510" s="10"/>
      <c r="J510" s="31"/>
    </row>
    <row r="511" ht="12.75" customHeight="1">
      <c r="A511" s="10"/>
      <c r="J511" s="31"/>
    </row>
    <row r="512" ht="12.75" customHeight="1">
      <c r="A512" s="10"/>
      <c r="J512" s="31"/>
    </row>
    <row r="513" ht="12.75" customHeight="1">
      <c r="A513" s="10"/>
      <c r="J513" s="31"/>
    </row>
    <row r="514" ht="12.75" customHeight="1">
      <c r="A514" s="10"/>
      <c r="J514" s="31"/>
    </row>
    <row r="515" ht="12.75" customHeight="1">
      <c r="A515" s="10"/>
      <c r="J515" s="31"/>
    </row>
    <row r="516" ht="12.75" customHeight="1">
      <c r="A516" s="10"/>
      <c r="J516" s="31"/>
    </row>
    <row r="517" ht="12.75" customHeight="1">
      <c r="A517" s="10"/>
      <c r="J517" s="31"/>
    </row>
    <row r="518" ht="12.75" customHeight="1">
      <c r="A518" s="21"/>
      <c r="B518" s="53"/>
      <c r="C518" s="53"/>
      <c r="D518" s="53"/>
      <c r="E518" s="53"/>
      <c r="F518" s="53"/>
      <c r="G518" s="53"/>
      <c r="H518" s="53"/>
      <c r="I518" s="53"/>
      <c r="J518" s="54"/>
    </row>
    <row r="519" ht="12.75" customHeight="1"/>
    <row r="520" ht="12.75" customHeight="1">
      <c r="A520" s="127" t="s">
        <v>80</v>
      </c>
      <c r="B520" s="43"/>
      <c r="C520" s="43"/>
      <c r="D520" s="43"/>
      <c r="E520" s="43"/>
      <c r="F520" s="43"/>
      <c r="G520" s="75"/>
      <c r="H520" s="128" t="str">
        <f>'CONTACT INFORMATION'!$A$24</f>
        <v>Amador</v>
      </c>
      <c r="I520" s="43"/>
      <c r="J520" s="44"/>
    </row>
    <row r="521" ht="7.5" customHeight="1">
      <c r="A521" s="228"/>
      <c r="B521" s="228"/>
      <c r="C521" s="228"/>
      <c r="D521" s="228"/>
      <c r="E521" s="228"/>
      <c r="F521" s="228"/>
      <c r="G521" s="228"/>
      <c r="H521" s="228"/>
      <c r="I521" s="228"/>
      <c r="J521" s="228"/>
    </row>
    <row r="522" ht="12.75" customHeight="1">
      <c r="A522" s="203" t="s">
        <v>193</v>
      </c>
      <c r="B522" s="43"/>
      <c r="C522" s="43"/>
      <c r="D522" s="43"/>
      <c r="E522" s="43"/>
      <c r="F522" s="43"/>
      <c r="G522" s="43"/>
      <c r="H522" s="43"/>
      <c r="I522" s="43"/>
      <c r="J522" s="44"/>
    </row>
    <row r="523" ht="12.75" customHeight="1">
      <c r="A523" s="204" t="s">
        <v>155</v>
      </c>
      <c r="B523" s="49"/>
      <c r="C523" s="49"/>
      <c r="D523" s="50"/>
      <c r="E523" s="231"/>
      <c r="F523" s="8"/>
      <c r="G523" s="8"/>
      <c r="H523" s="8"/>
      <c r="I523" s="8"/>
      <c r="J523" s="9"/>
    </row>
    <row r="524" ht="12.75" customHeight="1">
      <c r="A524" s="206" t="s">
        <v>184</v>
      </c>
      <c r="B524" s="207"/>
      <c r="C524" s="207"/>
      <c r="D524" s="208"/>
      <c r="E524" s="21"/>
      <c r="F524" s="53"/>
      <c r="G524" s="53"/>
      <c r="H524" s="53"/>
      <c r="I524" s="53"/>
      <c r="J524" s="54"/>
    </row>
    <row r="525" ht="12.75" customHeight="1">
      <c r="A525" s="209" t="s">
        <v>194</v>
      </c>
      <c r="B525" s="43"/>
      <c r="C525" s="43"/>
      <c r="D525" s="44"/>
      <c r="E525" s="150"/>
      <c r="F525" s="43"/>
      <c r="G525" s="43"/>
      <c r="H525" s="43"/>
      <c r="I525" s="43"/>
      <c r="J525" s="44"/>
    </row>
    <row r="526" ht="27.0" customHeight="1">
      <c r="A526" s="229"/>
      <c r="B526" s="210"/>
      <c r="C526" s="210"/>
      <c r="D526" s="210"/>
      <c r="E526" s="210" t="s">
        <v>159</v>
      </c>
      <c r="F526" s="53"/>
      <c r="G526" s="210" t="s">
        <v>160</v>
      </c>
      <c r="H526" s="53"/>
      <c r="I526" s="211" t="s">
        <v>161</v>
      </c>
      <c r="J526" s="54"/>
    </row>
    <row r="527" ht="12.75" customHeight="1">
      <c r="A527" s="149" t="s">
        <v>162</v>
      </c>
      <c r="B527" s="43"/>
      <c r="C527" s="43"/>
      <c r="D527" s="44"/>
      <c r="E527" s="212"/>
      <c r="F527" s="44"/>
      <c r="G527" s="212"/>
      <c r="H527" s="44"/>
      <c r="I527" s="213"/>
      <c r="J527" s="44"/>
    </row>
    <row r="528" ht="12.75" customHeight="1">
      <c r="A528" s="214" t="s">
        <v>163</v>
      </c>
      <c r="B528" s="43"/>
      <c r="C528" s="43"/>
      <c r="D528" s="44"/>
      <c r="E528" s="215"/>
      <c r="F528" s="44"/>
      <c r="G528" s="216"/>
      <c r="H528" s="44"/>
      <c r="I528" s="217"/>
      <c r="J528" s="44"/>
    </row>
    <row r="529" ht="12.75" customHeight="1">
      <c r="A529" s="149" t="s">
        <v>164</v>
      </c>
      <c r="B529" s="43"/>
      <c r="C529" s="43"/>
      <c r="D529" s="44"/>
      <c r="E529" s="212"/>
      <c r="F529" s="44"/>
      <c r="G529" s="212"/>
      <c r="H529" s="44"/>
      <c r="I529" s="213"/>
      <c r="J529" s="44"/>
    </row>
    <row r="530" ht="12.75" customHeight="1">
      <c r="A530" s="214" t="s">
        <v>165</v>
      </c>
      <c r="B530" s="43"/>
      <c r="C530" s="43"/>
      <c r="D530" s="44"/>
      <c r="E530" s="215"/>
      <c r="F530" s="44"/>
      <c r="G530" s="216"/>
      <c r="H530" s="44"/>
      <c r="I530" s="217"/>
      <c r="J530" s="44"/>
    </row>
    <row r="531" ht="12.75" customHeight="1">
      <c r="A531" s="149" t="s">
        <v>166</v>
      </c>
      <c r="B531" s="43"/>
      <c r="C531" s="43"/>
      <c r="D531" s="44"/>
      <c r="E531" s="212"/>
      <c r="F531" s="44"/>
      <c r="G531" s="212"/>
      <c r="H531" s="44"/>
      <c r="I531" s="213"/>
      <c r="J531" s="44"/>
    </row>
    <row r="532" ht="12.75" customHeight="1">
      <c r="A532" s="214" t="s">
        <v>167</v>
      </c>
      <c r="B532" s="43"/>
      <c r="C532" s="43"/>
      <c r="D532" s="44"/>
      <c r="E532" s="215"/>
      <c r="F532" s="44"/>
      <c r="G532" s="216"/>
      <c r="H532" s="44"/>
      <c r="I532" s="217"/>
      <c r="J532" s="44"/>
    </row>
    <row r="533" ht="12.75" customHeight="1">
      <c r="A533" s="149" t="s">
        <v>168</v>
      </c>
      <c r="B533" s="43"/>
      <c r="C533" s="43"/>
      <c r="D533" s="44"/>
      <c r="E533" s="218"/>
      <c r="F533" s="44"/>
      <c r="G533" s="218"/>
      <c r="H533" s="44"/>
      <c r="I533" s="219"/>
      <c r="J533" s="44"/>
    </row>
    <row r="534" ht="12.75" customHeight="1">
      <c r="A534" s="220"/>
      <c r="B534" s="43"/>
      <c r="C534" s="43"/>
      <c r="D534" s="44"/>
      <c r="E534" s="215"/>
      <c r="F534" s="44"/>
      <c r="G534" s="216"/>
      <c r="H534" s="44"/>
      <c r="I534" s="216"/>
      <c r="J534" s="44"/>
    </row>
    <row r="535" ht="12.75" customHeight="1">
      <c r="A535" s="220"/>
      <c r="B535" s="43"/>
      <c r="C535" s="43"/>
      <c r="D535" s="44"/>
      <c r="E535" s="215"/>
      <c r="F535" s="44"/>
      <c r="G535" s="216"/>
      <c r="H535" s="44"/>
      <c r="I535" s="216"/>
      <c r="J535" s="44"/>
    </row>
    <row r="536" ht="12.75" customHeight="1">
      <c r="A536" s="220"/>
      <c r="B536" s="43"/>
      <c r="C536" s="43"/>
      <c r="D536" s="44"/>
      <c r="E536" s="215"/>
      <c r="F536" s="44"/>
      <c r="G536" s="216"/>
      <c r="H536" s="44"/>
      <c r="I536" s="216"/>
      <c r="J536" s="44"/>
    </row>
    <row r="537" ht="12.75" customHeight="1">
      <c r="A537" s="151" t="s">
        <v>169</v>
      </c>
      <c r="B537" s="43"/>
      <c r="C537" s="43"/>
      <c r="D537" s="44"/>
      <c r="E537" s="221">
        <f>SUM(E527:E536)</f>
        <v>0</v>
      </c>
      <c r="F537" s="44"/>
      <c r="G537" s="221">
        <f>SUM(G527:G536)</f>
        <v>0</v>
      </c>
      <c r="H537" s="44"/>
      <c r="I537" s="221">
        <f>SUM(I527:I536)</f>
        <v>0</v>
      </c>
      <c r="J537" s="44"/>
    </row>
    <row r="538" ht="12.75" customHeight="1">
      <c r="A538" s="222" t="s">
        <v>170</v>
      </c>
      <c r="B538" s="49"/>
      <c r="C538" s="49"/>
      <c r="D538" s="49"/>
      <c r="E538" s="49"/>
      <c r="F538" s="49"/>
      <c r="G538" s="49"/>
      <c r="H538" s="49"/>
      <c r="I538" s="49"/>
      <c r="J538" s="50"/>
    </row>
    <row r="539" ht="12.75" customHeight="1">
      <c r="A539" s="223" t="s">
        <v>171</v>
      </c>
      <c r="B539" s="56"/>
      <c r="C539" s="56"/>
      <c r="D539" s="56"/>
      <c r="E539" s="56"/>
      <c r="F539" s="56"/>
      <c r="G539" s="56"/>
      <c r="H539" s="56"/>
      <c r="I539" s="56"/>
      <c r="J539" s="57"/>
    </row>
    <row r="540" ht="12.75" customHeight="1">
      <c r="A540" s="223" t="s">
        <v>172</v>
      </c>
      <c r="B540" s="56"/>
      <c r="C540" s="56"/>
      <c r="D540" s="56"/>
      <c r="E540" s="56"/>
      <c r="F540" s="56"/>
      <c r="G540" s="56"/>
      <c r="H540" s="56"/>
      <c r="I540" s="56"/>
      <c r="J540" s="57"/>
    </row>
    <row r="541" ht="12.75" customHeight="1">
      <c r="A541" s="224" t="s">
        <v>173</v>
      </c>
      <c r="B541" s="207"/>
      <c r="C541" s="207"/>
      <c r="D541" s="207"/>
      <c r="E541" s="207"/>
      <c r="F541" s="207"/>
      <c r="G541" s="207"/>
      <c r="H541" s="207"/>
      <c r="I541" s="207"/>
      <c r="J541" s="208"/>
    </row>
    <row r="542" ht="12.75" customHeight="1">
      <c r="A542" s="118"/>
      <c r="B542" s="8"/>
      <c r="C542" s="8"/>
      <c r="D542" s="8"/>
      <c r="E542" s="8"/>
      <c r="F542" s="8"/>
      <c r="G542" s="8"/>
      <c r="H542" s="8"/>
      <c r="I542" s="8"/>
      <c r="J542" s="9"/>
    </row>
    <row r="543" ht="12.75" customHeight="1">
      <c r="A543" s="10"/>
      <c r="J543" s="31"/>
    </row>
    <row r="544" ht="12.75" customHeight="1">
      <c r="A544" s="10"/>
      <c r="J544" s="31"/>
    </row>
    <row r="545" ht="12.75" customHeight="1">
      <c r="A545" s="10"/>
      <c r="J545" s="31"/>
    </row>
    <row r="546" ht="12.75" customHeight="1">
      <c r="A546" s="10"/>
      <c r="J546" s="31"/>
    </row>
    <row r="547" ht="12.75" customHeight="1">
      <c r="A547" s="10"/>
      <c r="J547" s="31"/>
    </row>
    <row r="548" ht="12.75" customHeight="1">
      <c r="A548" s="10"/>
      <c r="J548" s="31"/>
    </row>
    <row r="549" ht="12.75" customHeight="1">
      <c r="A549" s="10"/>
      <c r="J549" s="31"/>
    </row>
    <row r="550" ht="12.75" customHeight="1">
      <c r="A550" s="10"/>
      <c r="J550" s="31"/>
    </row>
    <row r="551" ht="12.75" customHeight="1">
      <c r="A551" s="10"/>
      <c r="J551" s="31"/>
    </row>
    <row r="552" ht="12.75" customHeight="1">
      <c r="A552" s="10"/>
      <c r="J552" s="31"/>
    </row>
    <row r="553" ht="12.75" customHeight="1">
      <c r="A553" s="10"/>
      <c r="J553" s="31"/>
    </row>
    <row r="554" ht="12.75" customHeight="1">
      <c r="A554" s="10"/>
      <c r="J554" s="31"/>
    </row>
    <row r="555" ht="12.75" customHeight="1">
      <c r="A555" s="10"/>
      <c r="J555" s="31"/>
    </row>
    <row r="556" ht="12.75" customHeight="1">
      <c r="A556" s="10"/>
      <c r="J556" s="31"/>
    </row>
    <row r="557" ht="12.75" customHeight="1">
      <c r="A557" s="10"/>
      <c r="J557" s="31"/>
    </row>
    <row r="558" ht="12.75" customHeight="1">
      <c r="A558" s="10"/>
      <c r="J558" s="31"/>
    </row>
    <row r="559" ht="12.75" customHeight="1">
      <c r="A559" s="10"/>
      <c r="J559" s="31"/>
    </row>
    <row r="560" ht="12.75" customHeight="1">
      <c r="A560" s="10"/>
      <c r="J560" s="31"/>
    </row>
    <row r="561" ht="12.75" customHeight="1">
      <c r="A561" s="10"/>
      <c r="J561" s="31"/>
    </row>
    <row r="562" ht="12.75" customHeight="1">
      <c r="A562" s="10"/>
      <c r="J562" s="31"/>
    </row>
    <row r="563" ht="12.75" customHeight="1">
      <c r="A563" s="10"/>
      <c r="J563" s="31"/>
    </row>
    <row r="564" ht="12.75" customHeight="1">
      <c r="A564" s="10"/>
      <c r="J564" s="31"/>
    </row>
    <row r="565" ht="12.75" customHeight="1">
      <c r="A565" s="10"/>
      <c r="J565" s="31"/>
    </row>
    <row r="566" ht="12.75" customHeight="1">
      <c r="A566" s="10"/>
      <c r="J566" s="31"/>
    </row>
    <row r="567" ht="12.75" customHeight="1">
      <c r="A567" s="10"/>
      <c r="J567" s="31"/>
    </row>
    <row r="568" ht="12.75" customHeight="1">
      <c r="A568" s="10"/>
      <c r="J568" s="31"/>
    </row>
    <row r="569" ht="12.75" customHeight="1">
      <c r="A569" s="10"/>
      <c r="J569" s="31"/>
    </row>
    <row r="570" ht="12.75" customHeight="1">
      <c r="A570" s="10"/>
      <c r="J570" s="31"/>
    </row>
    <row r="571" ht="12.75" customHeight="1">
      <c r="A571" s="10"/>
      <c r="J571" s="31"/>
    </row>
    <row r="572" ht="12.75" customHeight="1">
      <c r="A572" s="10"/>
      <c r="J572" s="31"/>
    </row>
    <row r="573" ht="12.75" customHeight="1">
      <c r="A573" s="10"/>
      <c r="J573" s="31"/>
    </row>
    <row r="574" ht="12.75" customHeight="1">
      <c r="A574" s="10"/>
      <c r="J574" s="31"/>
    </row>
    <row r="575" ht="12.75" customHeight="1">
      <c r="A575" s="10"/>
      <c r="J575" s="31"/>
    </row>
    <row r="576" ht="12.75" customHeight="1">
      <c r="A576" s="21"/>
      <c r="B576" s="53"/>
      <c r="C576" s="53"/>
      <c r="D576" s="53"/>
      <c r="E576" s="53"/>
      <c r="F576" s="53"/>
      <c r="G576" s="53"/>
      <c r="H576" s="53"/>
      <c r="I576" s="53"/>
      <c r="J576" s="54"/>
    </row>
    <row r="577" ht="12.75" customHeight="1"/>
    <row r="578" ht="12.75" customHeight="1">
      <c r="A578" s="127" t="s">
        <v>80</v>
      </c>
      <c r="B578" s="43"/>
      <c r="C578" s="43"/>
      <c r="D578" s="43"/>
      <c r="E578" s="43"/>
      <c r="F578" s="43"/>
      <c r="G578" s="75"/>
      <c r="H578" s="128" t="str">
        <f>'CONTACT INFORMATION'!$A$24</f>
        <v>Amador</v>
      </c>
      <c r="I578" s="43"/>
      <c r="J578" s="44"/>
    </row>
    <row r="579" ht="7.5" customHeight="1">
      <c r="A579" s="228"/>
      <c r="B579" s="228"/>
      <c r="C579" s="228"/>
      <c r="D579" s="228"/>
      <c r="E579" s="228"/>
      <c r="F579" s="228"/>
      <c r="G579" s="228"/>
      <c r="H579" s="228"/>
      <c r="I579" s="228"/>
      <c r="J579" s="228"/>
    </row>
    <row r="580" ht="12.75" customHeight="1">
      <c r="A580" s="203" t="s">
        <v>195</v>
      </c>
      <c r="B580" s="43"/>
      <c r="C580" s="43"/>
      <c r="D580" s="43"/>
      <c r="E580" s="43"/>
      <c r="F580" s="43"/>
      <c r="G580" s="43"/>
      <c r="H580" s="43"/>
      <c r="I580" s="43"/>
      <c r="J580" s="44"/>
    </row>
    <row r="581" ht="12.75" customHeight="1">
      <c r="A581" s="204" t="s">
        <v>155</v>
      </c>
      <c r="B581" s="49"/>
      <c r="C581" s="49"/>
      <c r="D581" s="50"/>
      <c r="E581" s="231"/>
      <c r="F581" s="8"/>
      <c r="G581" s="8"/>
      <c r="H581" s="8"/>
      <c r="I581" s="8"/>
      <c r="J581" s="9"/>
    </row>
    <row r="582" ht="12.75" customHeight="1">
      <c r="A582" s="206" t="s">
        <v>184</v>
      </c>
      <c r="B582" s="207"/>
      <c r="C582" s="207"/>
      <c r="D582" s="208"/>
      <c r="E582" s="21"/>
      <c r="F582" s="53"/>
      <c r="G582" s="53"/>
      <c r="H582" s="53"/>
      <c r="I582" s="53"/>
      <c r="J582" s="54"/>
    </row>
    <row r="583" ht="12.75" customHeight="1">
      <c r="A583" s="209" t="s">
        <v>196</v>
      </c>
      <c r="B583" s="43"/>
      <c r="C583" s="43"/>
      <c r="D583" s="44"/>
      <c r="E583" s="150"/>
      <c r="F583" s="43"/>
      <c r="G583" s="43"/>
      <c r="H583" s="43"/>
      <c r="I583" s="43"/>
      <c r="J583" s="44"/>
    </row>
    <row r="584" ht="27.0" customHeight="1">
      <c r="A584" s="229"/>
      <c r="B584" s="210"/>
      <c r="C584" s="210"/>
      <c r="D584" s="210"/>
      <c r="E584" s="210" t="s">
        <v>159</v>
      </c>
      <c r="F584" s="53"/>
      <c r="G584" s="210" t="s">
        <v>160</v>
      </c>
      <c r="H584" s="53"/>
      <c r="I584" s="211" t="s">
        <v>161</v>
      </c>
      <c r="J584" s="54"/>
    </row>
    <row r="585" ht="12.75" customHeight="1">
      <c r="A585" s="149" t="s">
        <v>162</v>
      </c>
      <c r="B585" s="43"/>
      <c r="C585" s="43"/>
      <c r="D585" s="44"/>
      <c r="E585" s="212"/>
      <c r="F585" s="44"/>
      <c r="G585" s="212"/>
      <c r="H585" s="44"/>
      <c r="I585" s="213"/>
      <c r="J585" s="44"/>
    </row>
    <row r="586" ht="12.75" customHeight="1">
      <c r="A586" s="214" t="s">
        <v>163</v>
      </c>
      <c r="B586" s="43"/>
      <c r="C586" s="43"/>
      <c r="D586" s="44"/>
      <c r="E586" s="215"/>
      <c r="F586" s="44"/>
      <c r="G586" s="216"/>
      <c r="H586" s="44"/>
      <c r="I586" s="217"/>
      <c r="J586" s="44"/>
    </row>
    <row r="587" ht="12.75" customHeight="1">
      <c r="A587" s="149" t="s">
        <v>164</v>
      </c>
      <c r="B587" s="43"/>
      <c r="C587" s="43"/>
      <c r="D587" s="44"/>
      <c r="E587" s="212"/>
      <c r="F587" s="44"/>
      <c r="G587" s="212"/>
      <c r="H587" s="44"/>
      <c r="I587" s="213"/>
      <c r="J587" s="44"/>
    </row>
    <row r="588" ht="12.75" customHeight="1">
      <c r="A588" s="214" t="s">
        <v>165</v>
      </c>
      <c r="B588" s="43"/>
      <c r="C588" s="43"/>
      <c r="D588" s="44"/>
      <c r="E588" s="215"/>
      <c r="F588" s="44"/>
      <c r="G588" s="216"/>
      <c r="H588" s="44"/>
      <c r="I588" s="217"/>
      <c r="J588" s="44"/>
    </row>
    <row r="589" ht="12.75" customHeight="1">
      <c r="A589" s="149" t="s">
        <v>166</v>
      </c>
      <c r="B589" s="43"/>
      <c r="C589" s="43"/>
      <c r="D589" s="44"/>
      <c r="E589" s="212"/>
      <c r="F589" s="44"/>
      <c r="G589" s="212"/>
      <c r="H589" s="44"/>
      <c r="I589" s="213"/>
      <c r="J589" s="44"/>
    </row>
    <row r="590" ht="12.75" customHeight="1">
      <c r="A590" s="214" t="s">
        <v>167</v>
      </c>
      <c r="B590" s="43"/>
      <c r="C590" s="43"/>
      <c r="D590" s="44"/>
      <c r="E590" s="215"/>
      <c r="F590" s="44"/>
      <c r="G590" s="216"/>
      <c r="H590" s="44"/>
      <c r="I590" s="217"/>
      <c r="J590" s="44"/>
    </row>
    <row r="591" ht="12.75" customHeight="1">
      <c r="A591" s="149" t="s">
        <v>168</v>
      </c>
      <c r="B591" s="43"/>
      <c r="C591" s="43"/>
      <c r="D591" s="44"/>
      <c r="E591" s="218"/>
      <c r="F591" s="44"/>
      <c r="G591" s="218"/>
      <c r="H591" s="44"/>
      <c r="I591" s="219"/>
      <c r="J591" s="44"/>
    </row>
    <row r="592" ht="12.75" customHeight="1">
      <c r="A592" s="220"/>
      <c r="B592" s="43"/>
      <c r="C592" s="43"/>
      <c r="D592" s="44"/>
      <c r="E592" s="215"/>
      <c r="F592" s="44"/>
      <c r="G592" s="216"/>
      <c r="H592" s="44"/>
      <c r="I592" s="216"/>
      <c r="J592" s="44"/>
    </row>
    <row r="593" ht="12.75" customHeight="1">
      <c r="A593" s="220"/>
      <c r="B593" s="43"/>
      <c r="C593" s="43"/>
      <c r="D593" s="44"/>
      <c r="E593" s="215"/>
      <c r="F593" s="44"/>
      <c r="G593" s="216"/>
      <c r="H593" s="44"/>
      <c r="I593" s="216"/>
      <c r="J593" s="44"/>
    </row>
    <row r="594" ht="12.75" customHeight="1">
      <c r="A594" s="220"/>
      <c r="B594" s="43"/>
      <c r="C594" s="43"/>
      <c r="D594" s="44"/>
      <c r="E594" s="215"/>
      <c r="F594" s="44"/>
      <c r="G594" s="216"/>
      <c r="H594" s="44"/>
      <c r="I594" s="216"/>
      <c r="J594" s="44"/>
    </row>
    <row r="595" ht="12.75" customHeight="1">
      <c r="A595" s="151" t="s">
        <v>169</v>
      </c>
      <c r="B595" s="43"/>
      <c r="C595" s="43"/>
      <c r="D595" s="44"/>
      <c r="E595" s="221">
        <f>SUM(E585:E594)</f>
        <v>0</v>
      </c>
      <c r="F595" s="44"/>
      <c r="G595" s="221">
        <f>SUM(G585:G594)</f>
        <v>0</v>
      </c>
      <c r="H595" s="44"/>
      <c r="I595" s="221">
        <f>SUM(I585:I594)</f>
        <v>0</v>
      </c>
      <c r="J595" s="44"/>
    </row>
    <row r="596" ht="12.75" customHeight="1">
      <c r="A596" s="222" t="s">
        <v>170</v>
      </c>
      <c r="B596" s="49"/>
      <c r="C596" s="49"/>
      <c r="D596" s="49"/>
      <c r="E596" s="49"/>
      <c r="F596" s="49"/>
      <c r="G596" s="49"/>
      <c r="H596" s="49"/>
      <c r="I596" s="49"/>
      <c r="J596" s="50"/>
    </row>
    <row r="597" ht="12.75" customHeight="1">
      <c r="A597" s="223" t="s">
        <v>171</v>
      </c>
      <c r="B597" s="56"/>
      <c r="C597" s="56"/>
      <c r="D597" s="56"/>
      <c r="E597" s="56"/>
      <c r="F597" s="56"/>
      <c r="G597" s="56"/>
      <c r="H597" s="56"/>
      <c r="I597" s="56"/>
      <c r="J597" s="57"/>
    </row>
    <row r="598" ht="12.75" customHeight="1">
      <c r="A598" s="223" t="s">
        <v>172</v>
      </c>
      <c r="B598" s="56"/>
      <c r="C598" s="56"/>
      <c r="D598" s="56"/>
      <c r="E598" s="56"/>
      <c r="F598" s="56"/>
      <c r="G598" s="56"/>
      <c r="H598" s="56"/>
      <c r="I598" s="56"/>
      <c r="J598" s="57"/>
    </row>
    <row r="599" ht="12.75" customHeight="1">
      <c r="A599" s="224" t="s">
        <v>173</v>
      </c>
      <c r="B599" s="207"/>
      <c r="C599" s="207"/>
      <c r="D599" s="207"/>
      <c r="E599" s="207"/>
      <c r="F599" s="207"/>
      <c r="G599" s="207"/>
      <c r="H599" s="207"/>
      <c r="I599" s="207"/>
      <c r="J599" s="208"/>
    </row>
    <row r="600" ht="12.75" customHeight="1">
      <c r="A600" s="118"/>
      <c r="B600" s="8"/>
      <c r="C600" s="8"/>
      <c r="D600" s="8"/>
      <c r="E600" s="8"/>
      <c r="F600" s="8"/>
      <c r="G600" s="8"/>
      <c r="H600" s="8"/>
      <c r="I600" s="8"/>
      <c r="J600" s="9"/>
    </row>
    <row r="601" ht="12.75" customHeight="1">
      <c r="A601" s="10"/>
      <c r="J601" s="31"/>
    </row>
    <row r="602" ht="12.75" customHeight="1">
      <c r="A602" s="10"/>
      <c r="J602" s="31"/>
    </row>
    <row r="603" ht="12.75" customHeight="1">
      <c r="A603" s="10"/>
      <c r="J603" s="31"/>
    </row>
    <row r="604" ht="12.75" customHeight="1">
      <c r="A604" s="10"/>
      <c r="J604" s="31"/>
    </row>
    <row r="605" ht="12.75" customHeight="1">
      <c r="A605" s="10"/>
      <c r="J605" s="31"/>
    </row>
    <row r="606" ht="12.75" customHeight="1">
      <c r="A606" s="10"/>
      <c r="J606" s="31"/>
    </row>
    <row r="607" ht="12.75" customHeight="1">
      <c r="A607" s="10"/>
      <c r="J607" s="31"/>
    </row>
    <row r="608" ht="12.75" customHeight="1">
      <c r="A608" s="10"/>
      <c r="J608" s="31"/>
    </row>
    <row r="609" ht="12.75" customHeight="1">
      <c r="A609" s="10"/>
      <c r="J609" s="31"/>
    </row>
    <row r="610" ht="12.75" customHeight="1">
      <c r="A610" s="10"/>
      <c r="J610" s="31"/>
    </row>
    <row r="611" ht="12.75" customHeight="1">
      <c r="A611" s="10"/>
      <c r="J611" s="31"/>
    </row>
    <row r="612" ht="12.75" customHeight="1">
      <c r="A612" s="10"/>
      <c r="J612" s="31"/>
    </row>
    <row r="613" ht="12.75" customHeight="1">
      <c r="A613" s="10"/>
      <c r="J613" s="31"/>
    </row>
    <row r="614" ht="12.75" customHeight="1">
      <c r="A614" s="10"/>
      <c r="J614" s="31"/>
    </row>
    <row r="615" ht="12.75" customHeight="1">
      <c r="A615" s="10"/>
      <c r="J615" s="31"/>
    </row>
    <row r="616" ht="12.75" customHeight="1">
      <c r="A616" s="10"/>
      <c r="J616" s="31"/>
    </row>
    <row r="617" ht="12.75" customHeight="1">
      <c r="A617" s="10"/>
      <c r="J617" s="31"/>
    </row>
    <row r="618" ht="12.75" customHeight="1">
      <c r="A618" s="10"/>
      <c r="J618" s="31"/>
    </row>
    <row r="619" ht="12.75" customHeight="1">
      <c r="A619" s="10"/>
      <c r="J619" s="31"/>
    </row>
    <row r="620" ht="12.75" customHeight="1">
      <c r="A620" s="10"/>
      <c r="J620" s="31"/>
    </row>
    <row r="621" ht="12.75" customHeight="1">
      <c r="A621" s="10"/>
      <c r="J621" s="31"/>
    </row>
    <row r="622" ht="12.75" customHeight="1">
      <c r="A622" s="10"/>
      <c r="J622" s="31"/>
    </row>
    <row r="623" ht="12.75" customHeight="1">
      <c r="A623" s="10"/>
      <c r="J623" s="31"/>
    </row>
    <row r="624" ht="12.75" customHeight="1">
      <c r="A624" s="10"/>
      <c r="J624" s="31"/>
    </row>
    <row r="625" ht="12.75" customHeight="1">
      <c r="A625" s="10"/>
      <c r="J625" s="31"/>
    </row>
    <row r="626" ht="12.75" customHeight="1">
      <c r="A626" s="10"/>
      <c r="J626" s="31"/>
    </row>
    <row r="627" ht="12.75" customHeight="1">
      <c r="A627" s="10"/>
      <c r="J627" s="31"/>
    </row>
    <row r="628" ht="12.75" customHeight="1">
      <c r="A628" s="10"/>
      <c r="J628" s="31"/>
    </row>
    <row r="629" ht="12.75" customHeight="1">
      <c r="A629" s="10"/>
      <c r="J629" s="31"/>
    </row>
    <row r="630" ht="12.75" customHeight="1">
      <c r="A630" s="10"/>
      <c r="J630" s="31"/>
    </row>
    <row r="631" ht="12.75" customHeight="1">
      <c r="A631" s="10"/>
      <c r="J631" s="31"/>
    </row>
    <row r="632" ht="12.75" customHeight="1">
      <c r="A632" s="10"/>
      <c r="J632" s="31"/>
    </row>
    <row r="633" ht="12.75" customHeight="1">
      <c r="A633" s="10"/>
      <c r="J633" s="31"/>
    </row>
    <row r="634" ht="12.75" customHeight="1">
      <c r="A634" s="21"/>
      <c r="B634" s="53"/>
      <c r="C634" s="53"/>
      <c r="D634" s="53"/>
      <c r="E634" s="53"/>
      <c r="F634" s="53"/>
      <c r="G634" s="53"/>
      <c r="H634" s="53"/>
      <c r="I634" s="53"/>
      <c r="J634" s="54"/>
    </row>
    <row r="635" ht="12.75" customHeight="1"/>
    <row r="636" ht="12.75" customHeight="1">
      <c r="A636" s="127" t="s">
        <v>80</v>
      </c>
      <c r="B636" s="43"/>
      <c r="C636" s="43"/>
      <c r="D636" s="43"/>
      <c r="E636" s="43"/>
      <c r="F636" s="43"/>
      <c r="G636" s="75"/>
      <c r="H636" s="128" t="str">
        <f>'CONTACT INFORMATION'!$A$24</f>
        <v>Amador</v>
      </c>
      <c r="I636" s="43"/>
      <c r="J636" s="44"/>
    </row>
    <row r="637" ht="7.5" customHeight="1">
      <c r="A637" s="228"/>
      <c r="B637" s="228"/>
      <c r="C637" s="228"/>
      <c r="D637" s="228"/>
      <c r="E637" s="228"/>
      <c r="F637" s="228"/>
      <c r="G637" s="228"/>
      <c r="H637" s="228"/>
      <c r="I637" s="228"/>
      <c r="J637" s="228"/>
    </row>
    <row r="638" ht="12.75" customHeight="1">
      <c r="A638" s="203" t="s">
        <v>197</v>
      </c>
      <c r="B638" s="43"/>
      <c r="C638" s="43"/>
      <c r="D638" s="43"/>
      <c r="E638" s="43"/>
      <c r="F638" s="43"/>
      <c r="G638" s="43"/>
      <c r="H638" s="43"/>
      <c r="I638" s="43"/>
      <c r="J638" s="44"/>
    </row>
    <row r="639" ht="12.75" customHeight="1">
      <c r="A639" s="204" t="s">
        <v>155</v>
      </c>
      <c r="B639" s="49"/>
      <c r="C639" s="49"/>
      <c r="D639" s="50"/>
      <c r="E639" s="231"/>
      <c r="F639" s="8"/>
      <c r="G639" s="8"/>
      <c r="H639" s="8"/>
      <c r="I639" s="8"/>
      <c r="J639" s="9"/>
    </row>
    <row r="640" ht="12.75" customHeight="1">
      <c r="A640" s="206" t="s">
        <v>184</v>
      </c>
      <c r="B640" s="207"/>
      <c r="C640" s="207"/>
      <c r="D640" s="208"/>
      <c r="E640" s="21"/>
      <c r="F640" s="53"/>
      <c r="G640" s="53"/>
      <c r="H640" s="53"/>
      <c r="I640" s="53"/>
      <c r="J640" s="54"/>
    </row>
    <row r="641" ht="12.75" customHeight="1">
      <c r="A641" s="209" t="s">
        <v>198</v>
      </c>
      <c r="B641" s="43"/>
      <c r="C641" s="43"/>
      <c r="D641" s="44"/>
      <c r="E641" s="150"/>
      <c r="F641" s="43"/>
      <c r="G641" s="43"/>
      <c r="H641" s="43"/>
      <c r="I641" s="43"/>
      <c r="J641" s="44"/>
    </row>
    <row r="642" ht="27.0" customHeight="1">
      <c r="A642" s="229"/>
      <c r="B642" s="210"/>
      <c r="C642" s="210"/>
      <c r="D642" s="210"/>
      <c r="E642" s="210" t="s">
        <v>159</v>
      </c>
      <c r="F642" s="53"/>
      <c r="G642" s="210" t="s">
        <v>160</v>
      </c>
      <c r="H642" s="53"/>
      <c r="I642" s="211" t="s">
        <v>161</v>
      </c>
      <c r="J642" s="54"/>
    </row>
    <row r="643" ht="12.75" customHeight="1">
      <c r="A643" s="149" t="s">
        <v>162</v>
      </c>
      <c r="B643" s="43"/>
      <c r="C643" s="43"/>
      <c r="D643" s="44"/>
      <c r="E643" s="212"/>
      <c r="F643" s="44"/>
      <c r="G643" s="212"/>
      <c r="H643" s="44"/>
      <c r="I643" s="213"/>
      <c r="J643" s="44"/>
    </row>
    <row r="644" ht="12.75" customHeight="1">
      <c r="A644" s="214" t="s">
        <v>163</v>
      </c>
      <c r="B644" s="43"/>
      <c r="C644" s="43"/>
      <c r="D644" s="44"/>
      <c r="E644" s="215"/>
      <c r="F644" s="44"/>
      <c r="G644" s="216"/>
      <c r="H644" s="44"/>
      <c r="I644" s="217"/>
      <c r="J644" s="44"/>
    </row>
    <row r="645" ht="12.75" customHeight="1">
      <c r="A645" s="149" t="s">
        <v>164</v>
      </c>
      <c r="B645" s="43"/>
      <c r="C645" s="43"/>
      <c r="D645" s="44"/>
      <c r="E645" s="212"/>
      <c r="F645" s="44"/>
      <c r="G645" s="212"/>
      <c r="H645" s="44"/>
      <c r="I645" s="213"/>
      <c r="J645" s="44"/>
    </row>
    <row r="646" ht="12.75" customHeight="1">
      <c r="A646" s="214" t="s">
        <v>165</v>
      </c>
      <c r="B646" s="43"/>
      <c r="C646" s="43"/>
      <c r="D646" s="44"/>
      <c r="E646" s="215"/>
      <c r="F646" s="44"/>
      <c r="G646" s="216"/>
      <c r="H646" s="44"/>
      <c r="I646" s="217"/>
      <c r="J646" s="44"/>
    </row>
    <row r="647" ht="12.75" customHeight="1">
      <c r="A647" s="149" t="s">
        <v>166</v>
      </c>
      <c r="B647" s="43"/>
      <c r="C647" s="43"/>
      <c r="D647" s="44"/>
      <c r="E647" s="212"/>
      <c r="F647" s="44"/>
      <c r="G647" s="212"/>
      <c r="H647" s="44"/>
      <c r="I647" s="213"/>
      <c r="J647" s="44"/>
    </row>
    <row r="648" ht="12.75" customHeight="1">
      <c r="A648" s="214" t="s">
        <v>167</v>
      </c>
      <c r="B648" s="43"/>
      <c r="C648" s="43"/>
      <c r="D648" s="44"/>
      <c r="E648" s="215"/>
      <c r="F648" s="44"/>
      <c r="G648" s="216"/>
      <c r="H648" s="44"/>
      <c r="I648" s="217"/>
      <c r="J648" s="44"/>
    </row>
    <row r="649" ht="12.75" customHeight="1">
      <c r="A649" s="149" t="s">
        <v>168</v>
      </c>
      <c r="B649" s="43"/>
      <c r="C649" s="43"/>
      <c r="D649" s="44"/>
      <c r="E649" s="218"/>
      <c r="F649" s="44"/>
      <c r="G649" s="218"/>
      <c r="H649" s="44"/>
      <c r="I649" s="219"/>
      <c r="J649" s="44"/>
    </row>
    <row r="650" ht="12.75" customHeight="1">
      <c r="A650" s="220"/>
      <c r="B650" s="43"/>
      <c r="C650" s="43"/>
      <c r="D650" s="44"/>
      <c r="E650" s="215"/>
      <c r="F650" s="44"/>
      <c r="G650" s="216"/>
      <c r="H650" s="44"/>
      <c r="I650" s="216"/>
      <c r="J650" s="44"/>
    </row>
    <row r="651" ht="12.75" customHeight="1">
      <c r="A651" s="220"/>
      <c r="B651" s="43"/>
      <c r="C651" s="43"/>
      <c r="D651" s="44"/>
      <c r="E651" s="215"/>
      <c r="F651" s="44"/>
      <c r="G651" s="216"/>
      <c r="H651" s="44"/>
      <c r="I651" s="216"/>
      <c r="J651" s="44"/>
    </row>
    <row r="652" ht="12.75" customHeight="1">
      <c r="A652" s="220"/>
      <c r="B652" s="43"/>
      <c r="C652" s="43"/>
      <c r="D652" s="44"/>
      <c r="E652" s="215"/>
      <c r="F652" s="44"/>
      <c r="G652" s="216"/>
      <c r="H652" s="44"/>
      <c r="I652" s="216"/>
      <c r="J652" s="44"/>
    </row>
    <row r="653" ht="12.75" customHeight="1">
      <c r="A653" s="151" t="s">
        <v>169</v>
      </c>
      <c r="B653" s="43"/>
      <c r="C653" s="43"/>
      <c r="D653" s="44"/>
      <c r="E653" s="221">
        <f>SUM(E643:E652)</f>
        <v>0</v>
      </c>
      <c r="F653" s="44"/>
      <c r="G653" s="221">
        <f>SUM(G643:G652)</f>
        <v>0</v>
      </c>
      <c r="H653" s="44"/>
      <c r="I653" s="221">
        <f>SUM(I643:I652)</f>
        <v>0</v>
      </c>
      <c r="J653" s="44"/>
    </row>
    <row r="654" ht="12.75" customHeight="1">
      <c r="A654" s="222" t="s">
        <v>170</v>
      </c>
      <c r="B654" s="49"/>
      <c r="C654" s="49"/>
      <c r="D654" s="49"/>
      <c r="E654" s="49"/>
      <c r="F654" s="49"/>
      <c r="G654" s="49"/>
      <c r="H654" s="49"/>
      <c r="I654" s="49"/>
      <c r="J654" s="50"/>
    </row>
    <row r="655" ht="12.75" customHeight="1">
      <c r="A655" s="223" t="s">
        <v>171</v>
      </c>
      <c r="B655" s="56"/>
      <c r="C655" s="56"/>
      <c r="D655" s="56"/>
      <c r="E655" s="56"/>
      <c r="F655" s="56"/>
      <c r="G655" s="56"/>
      <c r="H655" s="56"/>
      <c r="I655" s="56"/>
      <c r="J655" s="57"/>
    </row>
    <row r="656" ht="12.75" customHeight="1">
      <c r="A656" s="223" t="s">
        <v>172</v>
      </c>
      <c r="B656" s="56"/>
      <c r="C656" s="56"/>
      <c r="D656" s="56"/>
      <c r="E656" s="56"/>
      <c r="F656" s="56"/>
      <c r="G656" s="56"/>
      <c r="H656" s="56"/>
      <c r="I656" s="56"/>
      <c r="J656" s="57"/>
    </row>
    <row r="657" ht="12.75" customHeight="1">
      <c r="A657" s="224" t="s">
        <v>173</v>
      </c>
      <c r="B657" s="207"/>
      <c r="C657" s="207"/>
      <c r="D657" s="207"/>
      <c r="E657" s="207"/>
      <c r="F657" s="207"/>
      <c r="G657" s="207"/>
      <c r="H657" s="207"/>
      <c r="I657" s="207"/>
      <c r="J657" s="208"/>
    </row>
    <row r="658" ht="12.75" customHeight="1">
      <c r="A658" s="118"/>
      <c r="B658" s="8"/>
      <c r="C658" s="8"/>
      <c r="D658" s="8"/>
      <c r="E658" s="8"/>
      <c r="F658" s="8"/>
      <c r="G658" s="8"/>
      <c r="H658" s="8"/>
      <c r="I658" s="8"/>
      <c r="J658" s="9"/>
    </row>
    <row r="659" ht="12.75" customHeight="1">
      <c r="A659" s="10"/>
      <c r="J659" s="31"/>
    </row>
    <row r="660" ht="12.75" customHeight="1">
      <c r="A660" s="10"/>
      <c r="J660" s="31"/>
    </row>
    <row r="661" ht="12.75" customHeight="1">
      <c r="A661" s="10"/>
      <c r="J661" s="31"/>
    </row>
    <row r="662" ht="12.75" customHeight="1">
      <c r="A662" s="10"/>
      <c r="J662" s="31"/>
    </row>
    <row r="663" ht="12.75" customHeight="1">
      <c r="A663" s="10"/>
      <c r="J663" s="31"/>
    </row>
    <row r="664" ht="12.75" customHeight="1">
      <c r="A664" s="10"/>
      <c r="J664" s="31"/>
    </row>
    <row r="665" ht="12.75" customHeight="1">
      <c r="A665" s="10"/>
      <c r="J665" s="31"/>
    </row>
    <row r="666" ht="12.75" customHeight="1">
      <c r="A666" s="10"/>
      <c r="J666" s="31"/>
    </row>
    <row r="667" ht="12.75" customHeight="1">
      <c r="A667" s="10"/>
      <c r="J667" s="31"/>
    </row>
    <row r="668" ht="12.75" customHeight="1">
      <c r="A668" s="10"/>
      <c r="J668" s="31"/>
    </row>
    <row r="669" ht="12.75" customHeight="1">
      <c r="A669" s="10"/>
      <c r="J669" s="31"/>
    </row>
    <row r="670" ht="12.75" customHeight="1">
      <c r="A670" s="10"/>
      <c r="J670" s="31"/>
    </row>
    <row r="671" ht="12.75" customHeight="1">
      <c r="A671" s="10"/>
      <c r="J671" s="31"/>
    </row>
    <row r="672" ht="12.75" customHeight="1">
      <c r="A672" s="10"/>
      <c r="J672" s="31"/>
    </row>
    <row r="673" ht="12.75" customHeight="1">
      <c r="A673" s="10"/>
      <c r="J673" s="31"/>
    </row>
    <row r="674" ht="12.75" customHeight="1">
      <c r="A674" s="10"/>
      <c r="J674" s="31"/>
    </row>
    <row r="675" ht="12.75" customHeight="1">
      <c r="A675" s="10"/>
      <c r="J675" s="31"/>
    </row>
    <row r="676" ht="12.75" customHeight="1">
      <c r="A676" s="10"/>
      <c r="J676" s="31"/>
    </row>
    <row r="677" ht="12.75" customHeight="1">
      <c r="A677" s="10"/>
      <c r="J677" s="31"/>
    </row>
    <row r="678" ht="12.75" customHeight="1">
      <c r="A678" s="10"/>
      <c r="J678" s="31"/>
    </row>
    <row r="679" ht="12.75" customHeight="1">
      <c r="A679" s="10"/>
      <c r="J679" s="31"/>
    </row>
    <row r="680" ht="12.75" customHeight="1">
      <c r="A680" s="10"/>
      <c r="J680" s="31"/>
    </row>
    <row r="681" ht="12.75" customHeight="1">
      <c r="A681" s="10"/>
      <c r="J681" s="31"/>
    </row>
    <row r="682" ht="12.75" customHeight="1">
      <c r="A682" s="10"/>
      <c r="J682" s="31"/>
    </row>
    <row r="683" ht="12.75" customHeight="1">
      <c r="A683" s="10"/>
      <c r="J683" s="31"/>
    </row>
    <row r="684" ht="12.75" customHeight="1">
      <c r="A684" s="10"/>
      <c r="J684" s="31"/>
    </row>
    <row r="685" ht="12.75" customHeight="1">
      <c r="A685" s="10"/>
      <c r="J685" s="31"/>
    </row>
    <row r="686" ht="12.75" customHeight="1">
      <c r="A686" s="10"/>
      <c r="J686" s="31"/>
    </row>
    <row r="687" ht="12.75" customHeight="1">
      <c r="A687" s="10"/>
      <c r="J687" s="31"/>
    </row>
    <row r="688" ht="12.75" customHeight="1">
      <c r="A688" s="10"/>
      <c r="J688" s="31"/>
    </row>
    <row r="689" ht="12.75" customHeight="1">
      <c r="A689" s="10"/>
      <c r="J689" s="31"/>
    </row>
    <row r="690" ht="12.75" customHeight="1">
      <c r="A690" s="10"/>
      <c r="J690" s="31"/>
    </row>
    <row r="691" ht="12.75" customHeight="1">
      <c r="A691" s="10"/>
      <c r="J691" s="31"/>
    </row>
    <row r="692" ht="12.75" customHeight="1">
      <c r="A692" s="21"/>
      <c r="B692" s="53"/>
      <c r="C692" s="53"/>
      <c r="D692" s="53"/>
      <c r="E692" s="53"/>
      <c r="F692" s="53"/>
      <c r="G692" s="53"/>
      <c r="H692" s="53"/>
      <c r="I692" s="53"/>
      <c r="J692" s="54"/>
    </row>
    <row r="693" ht="12.75" customHeight="1"/>
    <row r="694" ht="12.75" customHeight="1">
      <c r="A694" s="127" t="s">
        <v>80</v>
      </c>
      <c r="B694" s="43"/>
      <c r="C694" s="43"/>
      <c r="D694" s="43"/>
      <c r="E694" s="43"/>
      <c r="F694" s="43"/>
      <c r="G694" s="75"/>
      <c r="H694" s="128" t="str">
        <f>'CONTACT INFORMATION'!$A$24</f>
        <v>Amador</v>
      </c>
      <c r="I694" s="43"/>
      <c r="J694" s="44"/>
    </row>
    <row r="695" ht="7.5" customHeight="1">
      <c r="A695" s="228"/>
      <c r="B695" s="228"/>
      <c r="C695" s="228"/>
      <c r="D695" s="228"/>
      <c r="E695" s="228"/>
      <c r="F695" s="228"/>
      <c r="G695" s="228"/>
      <c r="H695" s="228"/>
      <c r="I695" s="228"/>
      <c r="J695" s="228"/>
    </row>
    <row r="696" ht="12.75" customHeight="1">
      <c r="A696" s="203" t="s">
        <v>199</v>
      </c>
      <c r="B696" s="43"/>
      <c r="C696" s="43"/>
      <c r="D696" s="43"/>
      <c r="E696" s="43"/>
      <c r="F696" s="43"/>
      <c r="G696" s="43"/>
      <c r="H696" s="43"/>
      <c r="I696" s="43"/>
      <c r="J696" s="44"/>
    </row>
    <row r="697" ht="12.75" customHeight="1">
      <c r="A697" s="204" t="s">
        <v>155</v>
      </c>
      <c r="B697" s="49"/>
      <c r="C697" s="49"/>
      <c r="D697" s="50"/>
      <c r="E697" s="231"/>
      <c r="F697" s="8"/>
      <c r="G697" s="8"/>
      <c r="H697" s="8"/>
      <c r="I697" s="8"/>
      <c r="J697" s="9"/>
    </row>
    <row r="698" ht="12.75" customHeight="1">
      <c r="A698" s="206" t="s">
        <v>184</v>
      </c>
      <c r="B698" s="207"/>
      <c r="C698" s="207"/>
      <c r="D698" s="208"/>
      <c r="E698" s="21"/>
      <c r="F698" s="53"/>
      <c r="G698" s="53"/>
      <c r="H698" s="53"/>
      <c r="I698" s="53"/>
      <c r="J698" s="54"/>
    </row>
    <row r="699" ht="12.75" customHeight="1">
      <c r="A699" s="209" t="s">
        <v>200</v>
      </c>
      <c r="B699" s="43"/>
      <c r="C699" s="43"/>
      <c r="D699" s="44"/>
      <c r="E699" s="150"/>
      <c r="F699" s="43"/>
      <c r="G699" s="43"/>
      <c r="H699" s="43"/>
      <c r="I699" s="43"/>
      <c r="J699" s="44"/>
    </row>
    <row r="700" ht="27.0" customHeight="1">
      <c r="A700" s="229"/>
      <c r="B700" s="210"/>
      <c r="C700" s="210"/>
      <c r="D700" s="210"/>
      <c r="E700" s="210" t="s">
        <v>159</v>
      </c>
      <c r="F700" s="53"/>
      <c r="G700" s="210" t="s">
        <v>160</v>
      </c>
      <c r="H700" s="53"/>
      <c r="I700" s="211" t="s">
        <v>161</v>
      </c>
      <c r="J700" s="54"/>
    </row>
    <row r="701" ht="12.75" customHeight="1">
      <c r="A701" s="149" t="s">
        <v>162</v>
      </c>
      <c r="B701" s="43"/>
      <c r="C701" s="43"/>
      <c r="D701" s="44"/>
      <c r="E701" s="212"/>
      <c r="F701" s="44"/>
      <c r="G701" s="212"/>
      <c r="H701" s="44"/>
      <c r="I701" s="213"/>
      <c r="J701" s="44"/>
    </row>
    <row r="702" ht="12.75" customHeight="1">
      <c r="A702" s="214" t="s">
        <v>163</v>
      </c>
      <c r="B702" s="43"/>
      <c r="C702" s="43"/>
      <c r="D702" s="44"/>
      <c r="E702" s="215"/>
      <c r="F702" s="44"/>
      <c r="G702" s="216"/>
      <c r="H702" s="44"/>
      <c r="I702" s="217"/>
      <c r="J702" s="44"/>
    </row>
    <row r="703" ht="12.75" customHeight="1">
      <c r="A703" s="149" t="s">
        <v>164</v>
      </c>
      <c r="B703" s="43"/>
      <c r="C703" s="43"/>
      <c r="D703" s="44"/>
      <c r="E703" s="212"/>
      <c r="F703" s="44"/>
      <c r="G703" s="212"/>
      <c r="H703" s="44"/>
      <c r="I703" s="213"/>
      <c r="J703" s="44"/>
    </row>
    <row r="704" ht="12.75" customHeight="1">
      <c r="A704" s="214" t="s">
        <v>165</v>
      </c>
      <c r="B704" s="43"/>
      <c r="C704" s="43"/>
      <c r="D704" s="44"/>
      <c r="E704" s="215"/>
      <c r="F704" s="44"/>
      <c r="G704" s="216"/>
      <c r="H704" s="44"/>
      <c r="I704" s="217"/>
      <c r="J704" s="44"/>
    </row>
    <row r="705" ht="12.75" customHeight="1">
      <c r="A705" s="149" t="s">
        <v>166</v>
      </c>
      <c r="B705" s="43"/>
      <c r="C705" s="43"/>
      <c r="D705" s="44"/>
      <c r="E705" s="212"/>
      <c r="F705" s="44"/>
      <c r="G705" s="212"/>
      <c r="H705" s="44"/>
      <c r="I705" s="213"/>
      <c r="J705" s="44"/>
    </row>
    <row r="706" ht="12.75" customHeight="1">
      <c r="A706" s="214" t="s">
        <v>167</v>
      </c>
      <c r="B706" s="43"/>
      <c r="C706" s="43"/>
      <c r="D706" s="44"/>
      <c r="E706" s="215"/>
      <c r="F706" s="44"/>
      <c r="G706" s="216"/>
      <c r="H706" s="44"/>
      <c r="I706" s="217"/>
      <c r="J706" s="44"/>
    </row>
    <row r="707" ht="12.75" customHeight="1">
      <c r="A707" s="149" t="s">
        <v>168</v>
      </c>
      <c r="B707" s="43"/>
      <c r="C707" s="43"/>
      <c r="D707" s="44"/>
      <c r="E707" s="218"/>
      <c r="F707" s="44"/>
      <c r="G707" s="218"/>
      <c r="H707" s="44"/>
      <c r="I707" s="219"/>
      <c r="J707" s="44"/>
    </row>
    <row r="708" ht="12.75" customHeight="1">
      <c r="A708" s="220"/>
      <c r="B708" s="43"/>
      <c r="C708" s="43"/>
      <c r="D708" s="44"/>
      <c r="E708" s="215"/>
      <c r="F708" s="44"/>
      <c r="G708" s="216"/>
      <c r="H708" s="44"/>
      <c r="I708" s="216"/>
      <c r="J708" s="44"/>
    </row>
    <row r="709" ht="12.75" customHeight="1">
      <c r="A709" s="220"/>
      <c r="B709" s="43"/>
      <c r="C709" s="43"/>
      <c r="D709" s="44"/>
      <c r="E709" s="215"/>
      <c r="F709" s="44"/>
      <c r="G709" s="216"/>
      <c r="H709" s="44"/>
      <c r="I709" s="216"/>
      <c r="J709" s="44"/>
    </row>
    <row r="710" ht="12.75" customHeight="1">
      <c r="A710" s="220"/>
      <c r="B710" s="43"/>
      <c r="C710" s="43"/>
      <c r="D710" s="44"/>
      <c r="E710" s="215"/>
      <c r="F710" s="44"/>
      <c r="G710" s="216"/>
      <c r="H710" s="44"/>
      <c r="I710" s="216"/>
      <c r="J710" s="44"/>
    </row>
    <row r="711" ht="12.75" customHeight="1">
      <c r="A711" s="151" t="s">
        <v>169</v>
      </c>
      <c r="B711" s="43"/>
      <c r="C711" s="43"/>
      <c r="D711" s="44"/>
      <c r="E711" s="221">
        <f>SUM(E701:E710)</f>
        <v>0</v>
      </c>
      <c r="F711" s="44"/>
      <c r="G711" s="221">
        <f>SUM(G701:G710)</f>
        <v>0</v>
      </c>
      <c r="H711" s="44"/>
      <c r="I711" s="221">
        <f>SUM(I701:I710)</f>
        <v>0</v>
      </c>
      <c r="J711" s="44"/>
    </row>
    <row r="712" ht="12.75" customHeight="1">
      <c r="A712" s="222" t="s">
        <v>170</v>
      </c>
      <c r="B712" s="49"/>
      <c r="C712" s="49"/>
      <c r="D712" s="49"/>
      <c r="E712" s="49"/>
      <c r="F712" s="49"/>
      <c r="G712" s="49"/>
      <c r="H712" s="49"/>
      <c r="I712" s="49"/>
      <c r="J712" s="50"/>
    </row>
    <row r="713" ht="12.75" customHeight="1">
      <c r="A713" s="223" t="s">
        <v>171</v>
      </c>
      <c r="B713" s="56"/>
      <c r="C713" s="56"/>
      <c r="D713" s="56"/>
      <c r="E713" s="56"/>
      <c r="F713" s="56"/>
      <c r="G713" s="56"/>
      <c r="H713" s="56"/>
      <c r="I713" s="56"/>
      <c r="J713" s="57"/>
    </row>
    <row r="714" ht="12.75" customHeight="1">
      <c r="A714" s="223" t="s">
        <v>172</v>
      </c>
      <c r="B714" s="56"/>
      <c r="C714" s="56"/>
      <c r="D714" s="56"/>
      <c r="E714" s="56"/>
      <c r="F714" s="56"/>
      <c r="G714" s="56"/>
      <c r="H714" s="56"/>
      <c r="I714" s="56"/>
      <c r="J714" s="57"/>
    </row>
    <row r="715" ht="12.75" customHeight="1">
      <c r="A715" s="224" t="s">
        <v>173</v>
      </c>
      <c r="B715" s="207"/>
      <c r="C715" s="207"/>
      <c r="D715" s="207"/>
      <c r="E715" s="207"/>
      <c r="F715" s="207"/>
      <c r="G715" s="207"/>
      <c r="H715" s="207"/>
      <c r="I715" s="207"/>
      <c r="J715" s="208"/>
    </row>
    <row r="716" ht="12.75" customHeight="1">
      <c r="A716" s="118"/>
      <c r="B716" s="8"/>
      <c r="C716" s="8"/>
      <c r="D716" s="8"/>
      <c r="E716" s="8"/>
      <c r="F716" s="8"/>
      <c r="G716" s="8"/>
      <c r="H716" s="8"/>
      <c r="I716" s="8"/>
      <c r="J716" s="9"/>
    </row>
    <row r="717" ht="12.75" customHeight="1">
      <c r="A717" s="10"/>
      <c r="J717" s="31"/>
    </row>
    <row r="718" ht="12.75" customHeight="1">
      <c r="A718" s="10"/>
      <c r="J718" s="31"/>
    </row>
    <row r="719" ht="12.75" customHeight="1">
      <c r="A719" s="10"/>
      <c r="J719" s="31"/>
    </row>
    <row r="720" ht="12.75" customHeight="1">
      <c r="A720" s="10"/>
      <c r="J720" s="31"/>
    </row>
    <row r="721" ht="12.75" customHeight="1">
      <c r="A721" s="10"/>
      <c r="J721" s="31"/>
    </row>
    <row r="722" ht="12.75" customHeight="1">
      <c r="A722" s="10"/>
      <c r="J722" s="31"/>
    </row>
    <row r="723" ht="12.75" customHeight="1">
      <c r="A723" s="10"/>
      <c r="J723" s="31"/>
    </row>
    <row r="724" ht="12.75" customHeight="1">
      <c r="A724" s="10"/>
      <c r="J724" s="31"/>
    </row>
    <row r="725" ht="12.75" customHeight="1">
      <c r="A725" s="10"/>
      <c r="J725" s="31"/>
    </row>
    <row r="726" ht="12.75" customHeight="1">
      <c r="A726" s="10"/>
      <c r="J726" s="31"/>
    </row>
    <row r="727" ht="12.75" customHeight="1">
      <c r="A727" s="10"/>
      <c r="J727" s="31"/>
    </row>
    <row r="728" ht="12.75" customHeight="1">
      <c r="A728" s="10"/>
      <c r="J728" s="31"/>
    </row>
    <row r="729" ht="12.75" customHeight="1">
      <c r="A729" s="10"/>
      <c r="J729" s="31"/>
    </row>
    <row r="730" ht="12.75" customHeight="1">
      <c r="A730" s="10"/>
      <c r="J730" s="31"/>
    </row>
    <row r="731" ht="12.75" customHeight="1">
      <c r="A731" s="10"/>
      <c r="J731" s="31"/>
    </row>
    <row r="732" ht="12.75" customHeight="1">
      <c r="A732" s="10"/>
      <c r="J732" s="31"/>
    </row>
    <row r="733" ht="12.75" customHeight="1">
      <c r="A733" s="10"/>
      <c r="J733" s="31"/>
    </row>
    <row r="734" ht="12.75" customHeight="1">
      <c r="A734" s="10"/>
      <c r="J734" s="31"/>
    </row>
    <row r="735" ht="12.75" customHeight="1">
      <c r="A735" s="10"/>
      <c r="J735" s="31"/>
    </row>
    <row r="736" ht="12.75" customHeight="1">
      <c r="A736" s="10"/>
      <c r="J736" s="31"/>
    </row>
    <row r="737" ht="12.75" customHeight="1">
      <c r="A737" s="10"/>
      <c r="J737" s="31"/>
    </row>
    <row r="738" ht="12.75" customHeight="1">
      <c r="A738" s="10"/>
      <c r="J738" s="31"/>
    </row>
    <row r="739" ht="12.75" customHeight="1">
      <c r="A739" s="10"/>
      <c r="J739" s="31"/>
    </row>
    <row r="740" ht="12.75" customHeight="1">
      <c r="A740" s="10"/>
      <c r="J740" s="31"/>
    </row>
    <row r="741" ht="12.75" customHeight="1">
      <c r="A741" s="10"/>
      <c r="J741" s="31"/>
    </row>
    <row r="742" ht="12.75" customHeight="1">
      <c r="A742" s="10"/>
      <c r="J742" s="31"/>
    </row>
    <row r="743" ht="12.75" customHeight="1">
      <c r="A743" s="10"/>
      <c r="J743" s="31"/>
    </row>
    <row r="744" ht="12.75" customHeight="1">
      <c r="A744" s="10"/>
      <c r="J744" s="31"/>
    </row>
    <row r="745" ht="12.75" customHeight="1">
      <c r="A745" s="10"/>
      <c r="J745" s="31"/>
    </row>
    <row r="746" ht="12.75" customHeight="1">
      <c r="A746" s="10"/>
      <c r="J746" s="31"/>
    </row>
    <row r="747" ht="12.75" customHeight="1">
      <c r="A747" s="10"/>
      <c r="J747" s="31"/>
    </row>
    <row r="748" ht="12.75" customHeight="1">
      <c r="A748" s="10"/>
      <c r="J748" s="31"/>
    </row>
    <row r="749" ht="12.75" customHeight="1">
      <c r="A749" s="10"/>
      <c r="J749" s="31"/>
    </row>
    <row r="750" ht="12.75" customHeight="1">
      <c r="A750" s="21"/>
      <c r="B750" s="53"/>
      <c r="C750" s="53"/>
      <c r="D750" s="53"/>
      <c r="E750" s="53"/>
      <c r="F750" s="53"/>
      <c r="G750" s="53"/>
      <c r="H750" s="53"/>
      <c r="I750" s="53"/>
      <c r="J750" s="54"/>
    </row>
    <row r="751" ht="12.75" customHeight="1"/>
    <row r="752" ht="12.75" customHeight="1">
      <c r="A752" s="127" t="s">
        <v>80</v>
      </c>
      <c r="B752" s="43"/>
      <c r="C752" s="43"/>
      <c r="D752" s="43"/>
      <c r="E752" s="43"/>
      <c r="F752" s="43"/>
      <c r="G752" s="75"/>
      <c r="H752" s="128" t="str">
        <f>'CONTACT INFORMATION'!$A$24</f>
        <v>Amador</v>
      </c>
      <c r="I752" s="43"/>
      <c r="J752" s="44"/>
    </row>
    <row r="753" ht="7.5" customHeight="1">
      <c r="A753" s="228"/>
      <c r="B753" s="228"/>
      <c r="C753" s="228"/>
      <c r="D753" s="228"/>
      <c r="E753" s="228"/>
      <c r="F753" s="228"/>
      <c r="G753" s="228"/>
      <c r="H753" s="228"/>
      <c r="I753" s="228"/>
      <c r="J753" s="228"/>
    </row>
    <row r="754" ht="12.75" customHeight="1">
      <c r="A754" s="203" t="s">
        <v>201</v>
      </c>
      <c r="B754" s="43"/>
      <c r="C754" s="43"/>
      <c r="D754" s="43"/>
      <c r="E754" s="43"/>
      <c r="F754" s="43"/>
      <c r="G754" s="43"/>
      <c r="H754" s="43"/>
      <c r="I754" s="43"/>
      <c r="J754" s="44"/>
    </row>
    <row r="755" ht="12.75" customHeight="1">
      <c r="A755" s="204" t="s">
        <v>155</v>
      </c>
      <c r="B755" s="49"/>
      <c r="C755" s="49"/>
      <c r="D755" s="50"/>
      <c r="E755" s="231"/>
      <c r="F755" s="8"/>
      <c r="G755" s="8"/>
      <c r="H755" s="8"/>
      <c r="I755" s="8"/>
      <c r="J755" s="9"/>
    </row>
    <row r="756" ht="12.75" customHeight="1">
      <c r="A756" s="206" t="s">
        <v>184</v>
      </c>
      <c r="B756" s="207"/>
      <c r="C756" s="207"/>
      <c r="D756" s="208"/>
      <c r="E756" s="21"/>
      <c r="F756" s="53"/>
      <c r="G756" s="53"/>
      <c r="H756" s="53"/>
      <c r="I756" s="53"/>
      <c r="J756" s="54"/>
    </row>
    <row r="757" ht="12.75" customHeight="1">
      <c r="A757" s="209" t="s">
        <v>202</v>
      </c>
      <c r="B757" s="43"/>
      <c r="C757" s="43"/>
      <c r="D757" s="44"/>
      <c r="E757" s="150"/>
      <c r="F757" s="43"/>
      <c r="G757" s="43"/>
      <c r="H757" s="43"/>
      <c r="I757" s="43"/>
      <c r="J757" s="44"/>
    </row>
    <row r="758" ht="27.0" customHeight="1">
      <c r="A758" s="229"/>
      <c r="B758" s="210"/>
      <c r="C758" s="210"/>
      <c r="D758" s="210"/>
      <c r="E758" s="210" t="s">
        <v>159</v>
      </c>
      <c r="F758" s="53"/>
      <c r="G758" s="210" t="s">
        <v>160</v>
      </c>
      <c r="H758" s="53"/>
      <c r="I758" s="211" t="s">
        <v>161</v>
      </c>
      <c r="J758" s="54"/>
    </row>
    <row r="759" ht="12.75" customHeight="1">
      <c r="A759" s="149" t="s">
        <v>162</v>
      </c>
      <c r="B759" s="43"/>
      <c r="C759" s="43"/>
      <c r="D759" s="44"/>
      <c r="E759" s="212"/>
      <c r="F759" s="44"/>
      <c r="G759" s="212"/>
      <c r="H759" s="44"/>
      <c r="I759" s="213"/>
      <c r="J759" s="44"/>
    </row>
    <row r="760" ht="12.75" customHeight="1">
      <c r="A760" s="214" t="s">
        <v>163</v>
      </c>
      <c r="B760" s="43"/>
      <c r="C760" s="43"/>
      <c r="D760" s="44"/>
      <c r="E760" s="215"/>
      <c r="F760" s="44"/>
      <c r="G760" s="216"/>
      <c r="H760" s="44"/>
      <c r="I760" s="217"/>
      <c r="J760" s="44"/>
    </row>
    <row r="761" ht="12.75" customHeight="1">
      <c r="A761" s="149" t="s">
        <v>164</v>
      </c>
      <c r="B761" s="43"/>
      <c r="C761" s="43"/>
      <c r="D761" s="44"/>
      <c r="E761" s="212"/>
      <c r="F761" s="44"/>
      <c r="G761" s="212"/>
      <c r="H761" s="44"/>
      <c r="I761" s="213"/>
      <c r="J761" s="44"/>
    </row>
    <row r="762" ht="12.75" customHeight="1">
      <c r="A762" s="214" t="s">
        <v>165</v>
      </c>
      <c r="B762" s="43"/>
      <c r="C762" s="43"/>
      <c r="D762" s="44"/>
      <c r="E762" s="215"/>
      <c r="F762" s="44"/>
      <c r="G762" s="216"/>
      <c r="H762" s="44"/>
      <c r="I762" s="217"/>
      <c r="J762" s="44"/>
    </row>
    <row r="763" ht="12.75" customHeight="1">
      <c r="A763" s="149" t="s">
        <v>166</v>
      </c>
      <c r="B763" s="43"/>
      <c r="C763" s="43"/>
      <c r="D763" s="44"/>
      <c r="E763" s="212"/>
      <c r="F763" s="44"/>
      <c r="G763" s="212"/>
      <c r="H763" s="44"/>
      <c r="I763" s="213"/>
      <c r="J763" s="44"/>
    </row>
    <row r="764" ht="12.75" customHeight="1">
      <c r="A764" s="214" t="s">
        <v>167</v>
      </c>
      <c r="B764" s="43"/>
      <c r="C764" s="43"/>
      <c r="D764" s="44"/>
      <c r="E764" s="215"/>
      <c r="F764" s="44"/>
      <c r="G764" s="216"/>
      <c r="H764" s="44"/>
      <c r="I764" s="217"/>
      <c r="J764" s="44"/>
    </row>
    <row r="765" ht="12.75" customHeight="1">
      <c r="A765" s="149" t="s">
        <v>168</v>
      </c>
      <c r="B765" s="43"/>
      <c r="C765" s="43"/>
      <c r="D765" s="44"/>
      <c r="E765" s="218"/>
      <c r="F765" s="44"/>
      <c r="G765" s="218"/>
      <c r="H765" s="44"/>
      <c r="I765" s="219"/>
      <c r="J765" s="44"/>
    </row>
    <row r="766" ht="12.75" customHeight="1">
      <c r="A766" s="220"/>
      <c r="B766" s="43"/>
      <c r="C766" s="43"/>
      <c r="D766" s="44"/>
      <c r="E766" s="215"/>
      <c r="F766" s="44"/>
      <c r="G766" s="216"/>
      <c r="H766" s="44"/>
      <c r="I766" s="216"/>
      <c r="J766" s="44"/>
    </row>
    <row r="767" ht="12.75" customHeight="1">
      <c r="A767" s="220"/>
      <c r="B767" s="43"/>
      <c r="C767" s="43"/>
      <c r="D767" s="44"/>
      <c r="E767" s="215"/>
      <c r="F767" s="44"/>
      <c r="G767" s="216"/>
      <c r="H767" s="44"/>
      <c r="I767" s="216"/>
      <c r="J767" s="44"/>
    </row>
    <row r="768" ht="12.75" customHeight="1">
      <c r="A768" s="220"/>
      <c r="B768" s="43"/>
      <c r="C768" s="43"/>
      <c r="D768" s="44"/>
      <c r="E768" s="215"/>
      <c r="F768" s="44"/>
      <c r="G768" s="216"/>
      <c r="H768" s="44"/>
      <c r="I768" s="216"/>
      <c r="J768" s="44"/>
    </row>
    <row r="769" ht="12.75" customHeight="1">
      <c r="A769" s="151" t="s">
        <v>169</v>
      </c>
      <c r="B769" s="43"/>
      <c r="C769" s="43"/>
      <c r="D769" s="44"/>
      <c r="E769" s="221">
        <f>SUM(E759:E768)</f>
        <v>0</v>
      </c>
      <c r="F769" s="44"/>
      <c r="G769" s="221">
        <f>SUM(G759:G768)</f>
        <v>0</v>
      </c>
      <c r="H769" s="44"/>
      <c r="I769" s="221">
        <f>SUM(I759:I768)</f>
        <v>0</v>
      </c>
      <c r="J769" s="44"/>
    </row>
    <row r="770" ht="12.75" customHeight="1">
      <c r="A770" s="222" t="s">
        <v>170</v>
      </c>
      <c r="B770" s="49"/>
      <c r="C770" s="49"/>
      <c r="D770" s="49"/>
      <c r="E770" s="49"/>
      <c r="F770" s="49"/>
      <c r="G770" s="49"/>
      <c r="H770" s="49"/>
      <c r="I770" s="49"/>
      <c r="J770" s="50"/>
    </row>
    <row r="771" ht="12.75" customHeight="1">
      <c r="A771" s="223" t="s">
        <v>171</v>
      </c>
      <c r="B771" s="56"/>
      <c r="C771" s="56"/>
      <c r="D771" s="56"/>
      <c r="E771" s="56"/>
      <c r="F771" s="56"/>
      <c r="G771" s="56"/>
      <c r="H771" s="56"/>
      <c r="I771" s="56"/>
      <c r="J771" s="57"/>
    </row>
    <row r="772" ht="12.75" customHeight="1">
      <c r="A772" s="223" t="s">
        <v>172</v>
      </c>
      <c r="B772" s="56"/>
      <c r="C772" s="56"/>
      <c r="D772" s="56"/>
      <c r="E772" s="56"/>
      <c r="F772" s="56"/>
      <c r="G772" s="56"/>
      <c r="H772" s="56"/>
      <c r="I772" s="56"/>
      <c r="J772" s="57"/>
    </row>
    <row r="773" ht="12.75" customHeight="1">
      <c r="A773" s="224" t="s">
        <v>173</v>
      </c>
      <c r="B773" s="207"/>
      <c r="C773" s="207"/>
      <c r="D773" s="207"/>
      <c r="E773" s="207"/>
      <c r="F773" s="207"/>
      <c r="G773" s="207"/>
      <c r="H773" s="207"/>
      <c r="I773" s="207"/>
      <c r="J773" s="208"/>
    </row>
    <row r="774" ht="12.75" customHeight="1">
      <c r="A774" s="118"/>
      <c r="B774" s="8"/>
      <c r="C774" s="8"/>
      <c r="D774" s="8"/>
      <c r="E774" s="8"/>
      <c r="F774" s="8"/>
      <c r="G774" s="8"/>
      <c r="H774" s="8"/>
      <c r="I774" s="8"/>
      <c r="J774" s="9"/>
    </row>
    <row r="775" ht="12.75" customHeight="1">
      <c r="A775" s="10"/>
      <c r="J775" s="31"/>
    </row>
    <row r="776" ht="12.75" customHeight="1">
      <c r="A776" s="10"/>
      <c r="J776" s="31"/>
    </row>
    <row r="777" ht="12.75" customHeight="1">
      <c r="A777" s="10"/>
      <c r="J777" s="31"/>
    </row>
    <row r="778" ht="12.75" customHeight="1">
      <c r="A778" s="10"/>
      <c r="J778" s="31"/>
    </row>
    <row r="779" ht="12.75" customHeight="1">
      <c r="A779" s="10"/>
      <c r="J779" s="31"/>
    </row>
    <row r="780" ht="12.75" customHeight="1">
      <c r="A780" s="10"/>
      <c r="J780" s="31"/>
    </row>
    <row r="781" ht="12.75" customHeight="1">
      <c r="A781" s="10"/>
      <c r="J781" s="31"/>
    </row>
    <row r="782" ht="12.75" customHeight="1">
      <c r="A782" s="10"/>
      <c r="J782" s="31"/>
    </row>
    <row r="783" ht="12.75" customHeight="1">
      <c r="A783" s="10"/>
      <c r="J783" s="31"/>
    </row>
    <row r="784" ht="12.75" customHeight="1">
      <c r="A784" s="10"/>
      <c r="J784" s="31"/>
    </row>
    <row r="785" ht="12.75" customHeight="1">
      <c r="A785" s="10"/>
      <c r="J785" s="31"/>
    </row>
    <row r="786" ht="12.75" customHeight="1">
      <c r="A786" s="10"/>
      <c r="J786" s="31"/>
    </row>
    <row r="787" ht="12.75" customHeight="1">
      <c r="A787" s="10"/>
      <c r="J787" s="31"/>
    </row>
    <row r="788" ht="12.75" customHeight="1">
      <c r="A788" s="10"/>
      <c r="J788" s="31"/>
    </row>
    <row r="789" ht="12.75" customHeight="1">
      <c r="A789" s="10"/>
      <c r="J789" s="31"/>
    </row>
    <row r="790" ht="12.75" customHeight="1">
      <c r="A790" s="10"/>
      <c r="J790" s="31"/>
    </row>
    <row r="791" ht="12.75" customHeight="1">
      <c r="A791" s="10"/>
      <c r="J791" s="31"/>
    </row>
    <row r="792" ht="12.75" customHeight="1">
      <c r="A792" s="10"/>
      <c r="J792" s="31"/>
    </row>
    <row r="793" ht="12.75" customHeight="1">
      <c r="A793" s="10"/>
      <c r="J793" s="31"/>
    </row>
    <row r="794" ht="12.75" customHeight="1">
      <c r="A794" s="10"/>
      <c r="J794" s="31"/>
    </row>
    <row r="795" ht="12.75" customHeight="1">
      <c r="A795" s="10"/>
      <c r="J795" s="31"/>
    </row>
    <row r="796" ht="12.75" customHeight="1">
      <c r="A796" s="10"/>
      <c r="J796" s="31"/>
    </row>
    <row r="797" ht="12.75" customHeight="1">
      <c r="A797" s="10"/>
      <c r="J797" s="31"/>
    </row>
    <row r="798" ht="12.75" customHeight="1">
      <c r="A798" s="10"/>
      <c r="J798" s="31"/>
    </row>
    <row r="799" ht="12.75" customHeight="1">
      <c r="A799" s="10"/>
      <c r="J799" s="31"/>
    </row>
    <row r="800" ht="12.75" customHeight="1">
      <c r="A800" s="10"/>
      <c r="J800" s="31"/>
    </row>
    <row r="801" ht="12.75" customHeight="1">
      <c r="A801" s="10"/>
      <c r="J801" s="31"/>
    </row>
    <row r="802" ht="12.75" customHeight="1">
      <c r="A802" s="10"/>
      <c r="J802" s="31"/>
    </row>
    <row r="803" ht="12.75" customHeight="1">
      <c r="A803" s="10"/>
      <c r="J803" s="31"/>
    </row>
    <row r="804" ht="12.75" customHeight="1">
      <c r="A804" s="10"/>
      <c r="J804" s="31"/>
    </row>
    <row r="805" ht="12.75" customHeight="1">
      <c r="A805" s="10"/>
      <c r="J805" s="31"/>
    </row>
    <row r="806" ht="12.75" customHeight="1">
      <c r="A806" s="10"/>
      <c r="J806" s="31"/>
    </row>
    <row r="807" ht="12.75" customHeight="1">
      <c r="A807" s="10"/>
      <c r="J807" s="31"/>
    </row>
    <row r="808" ht="12.75" customHeight="1">
      <c r="A808" s="21"/>
      <c r="B808" s="53"/>
      <c r="C808" s="53"/>
      <c r="D808" s="53"/>
      <c r="E808" s="53"/>
      <c r="F808" s="53"/>
      <c r="G808" s="53"/>
      <c r="H808" s="53"/>
      <c r="I808" s="53"/>
      <c r="J808" s="54"/>
    </row>
    <row r="809" ht="12.75" customHeight="1"/>
    <row r="810" ht="12.75" customHeight="1">
      <c r="A810" s="127" t="s">
        <v>80</v>
      </c>
      <c r="B810" s="43"/>
      <c r="C810" s="43"/>
      <c r="D810" s="43"/>
      <c r="E810" s="43"/>
      <c r="F810" s="43"/>
      <c r="G810" s="75"/>
      <c r="H810" s="128" t="str">
        <f>'CONTACT INFORMATION'!$A$24</f>
        <v>Amador</v>
      </c>
      <c r="I810" s="43"/>
      <c r="J810" s="44"/>
    </row>
    <row r="811" ht="7.5" customHeight="1">
      <c r="A811" s="228"/>
      <c r="B811" s="228"/>
      <c r="C811" s="228"/>
      <c r="D811" s="228"/>
      <c r="E811" s="228"/>
      <c r="F811" s="228"/>
      <c r="G811" s="228"/>
      <c r="H811" s="228"/>
      <c r="I811" s="228"/>
      <c r="J811" s="228"/>
    </row>
    <row r="812" ht="12.75" customHeight="1">
      <c r="A812" s="203" t="s">
        <v>203</v>
      </c>
      <c r="B812" s="43"/>
      <c r="C812" s="43"/>
      <c r="D812" s="43"/>
      <c r="E812" s="43"/>
      <c r="F812" s="43"/>
      <c r="G812" s="43"/>
      <c r="H812" s="43"/>
      <c r="I812" s="43"/>
      <c r="J812" s="44"/>
    </row>
    <row r="813" ht="12.75" customHeight="1">
      <c r="A813" s="204" t="s">
        <v>155</v>
      </c>
      <c r="B813" s="49"/>
      <c r="C813" s="49"/>
      <c r="D813" s="50"/>
      <c r="E813" s="231"/>
      <c r="F813" s="8"/>
      <c r="G813" s="8"/>
      <c r="H813" s="8"/>
      <c r="I813" s="8"/>
      <c r="J813" s="9"/>
    </row>
    <row r="814" ht="12.75" customHeight="1">
      <c r="A814" s="206" t="s">
        <v>184</v>
      </c>
      <c r="B814" s="207"/>
      <c r="C814" s="207"/>
      <c r="D814" s="208"/>
      <c r="E814" s="21"/>
      <c r="F814" s="53"/>
      <c r="G814" s="53"/>
      <c r="H814" s="53"/>
      <c r="I814" s="53"/>
      <c r="J814" s="54"/>
    </row>
    <row r="815" ht="12.75" customHeight="1">
      <c r="A815" s="209" t="s">
        <v>204</v>
      </c>
      <c r="B815" s="43"/>
      <c r="C815" s="43"/>
      <c r="D815" s="44"/>
      <c r="E815" s="150"/>
      <c r="F815" s="43"/>
      <c r="G815" s="43"/>
      <c r="H815" s="43"/>
      <c r="I815" s="43"/>
      <c r="J815" s="44"/>
    </row>
    <row r="816" ht="27.0" customHeight="1">
      <c r="A816" s="229"/>
      <c r="B816" s="210"/>
      <c r="C816" s="210"/>
      <c r="D816" s="210"/>
      <c r="E816" s="210" t="s">
        <v>159</v>
      </c>
      <c r="F816" s="53"/>
      <c r="G816" s="210" t="s">
        <v>160</v>
      </c>
      <c r="H816" s="53"/>
      <c r="I816" s="211" t="s">
        <v>161</v>
      </c>
      <c r="J816" s="54"/>
    </row>
    <row r="817" ht="12.75" customHeight="1">
      <c r="A817" s="149" t="s">
        <v>162</v>
      </c>
      <c r="B817" s="43"/>
      <c r="C817" s="43"/>
      <c r="D817" s="44"/>
      <c r="E817" s="212"/>
      <c r="F817" s="44"/>
      <c r="G817" s="212"/>
      <c r="H817" s="44"/>
      <c r="I817" s="213"/>
      <c r="J817" s="44"/>
    </row>
    <row r="818" ht="12.75" customHeight="1">
      <c r="A818" s="214" t="s">
        <v>163</v>
      </c>
      <c r="B818" s="43"/>
      <c r="C818" s="43"/>
      <c r="D818" s="44"/>
      <c r="E818" s="215"/>
      <c r="F818" s="44"/>
      <c r="G818" s="216"/>
      <c r="H818" s="44"/>
      <c r="I818" s="217"/>
      <c r="J818" s="44"/>
    </row>
    <row r="819" ht="12.75" customHeight="1">
      <c r="A819" s="149" t="s">
        <v>164</v>
      </c>
      <c r="B819" s="43"/>
      <c r="C819" s="43"/>
      <c r="D819" s="44"/>
      <c r="E819" s="212"/>
      <c r="F819" s="44"/>
      <c r="G819" s="212"/>
      <c r="H819" s="44"/>
      <c r="I819" s="213"/>
      <c r="J819" s="44"/>
    </row>
    <row r="820" ht="12.75" customHeight="1">
      <c r="A820" s="214" t="s">
        <v>165</v>
      </c>
      <c r="B820" s="43"/>
      <c r="C820" s="43"/>
      <c r="D820" s="44"/>
      <c r="E820" s="215"/>
      <c r="F820" s="44"/>
      <c r="G820" s="216"/>
      <c r="H820" s="44"/>
      <c r="I820" s="217"/>
      <c r="J820" s="44"/>
    </row>
    <row r="821" ht="12.75" customHeight="1">
      <c r="A821" s="149" t="s">
        <v>166</v>
      </c>
      <c r="B821" s="43"/>
      <c r="C821" s="43"/>
      <c r="D821" s="44"/>
      <c r="E821" s="212"/>
      <c r="F821" s="44"/>
      <c r="G821" s="212"/>
      <c r="H821" s="44"/>
      <c r="I821" s="213"/>
      <c r="J821" s="44"/>
    </row>
    <row r="822" ht="12.75" customHeight="1">
      <c r="A822" s="214" t="s">
        <v>167</v>
      </c>
      <c r="B822" s="43"/>
      <c r="C822" s="43"/>
      <c r="D822" s="44"/>
      <c r="E822" s="215"/>
      <c r="F822" s="44"/>
      <c r="G822" s="216"/>
      <c r="H822" s="44"/>
      <c r="I822" s="217"/>
      <c r="J822" s="44"/>
    </row>
    <row r="823" ht="12.75" customHeight="1">
      <c r="A823" s="149" t="s">
        <v>168</v>
      </c>
      <c r="B823" s="43"/>
      <c r="C823" s="43"/>
      <c r="D823" s="44"/>
      <c r="E823" s="218"/>
      <c r="F823" s="44"/>
      <c r="G823" s="218"/>
      <c r="H823" s="44"/>
      <c r="I823" s="219"/>
      <c r="J823" s="44"/>
    </row>
    <row r="824" ht="12.75" customHeight="1">
      <c r="A824" s="220"/>
      <c r="B824" s="43"/>
      <c r="C824" s="43"/>
      <c r="D824" s="44"/>
      <c r="E824" s="215"/>
      <c r="F824" s="44"/>
      <c r="G824" s="216"/>
      <c r="H824" s="44"/>
      <c r="I824" s="216"/>
      <c r="J824" s="44"/>
    </row>
    <row r="825" ht="12.75" customHeight="1">
      <c r="A825" s="220"/>
      <c r="B825" s="43"/>
      <c r="C825" s="43"/>
      <c r="D825" s="44"/>
      <c r="E825" s="215"/>
      <c r="F825" s="44"/>
      <c r="G825" s="216"/>
      <c r="H825" s="44"/>
      <c r="I825" s="216"/>
      <c r="J825" s="44"/>
    </row>
    <row r="826" ht="12.75" customHeight="1">
      <c r="A826" s="220"/>
      <c r="B826" s="43"/>
      <c r="C826" s="43"/>
      <c r="D826" s="44"/>
      <c r="E826" s="215"/>
      <c r="F826" s="44"/>
      <c r="G826" s="216"/>
      <c r="H826" s="44"/>
      <c r="I826" s="216"/>
      <c r="J826" s="44"/>
    </row>
    <row r="827" ht="12.75" customHeight="1">
      <c r="A827" s="151" t="s">
        <v>169</v>
      </c>
      <c r="B827" s="43"/>
      <c r="C827" s="43"/>
      <c r="D827" s="44"/>
      <c r="E827" s="221">
        <f>SUM(E817:E826)</f>
        <v>0</v>
      </c>
      <c r="F827" s="44"/>
      <c r="G827" s="221">
        <f>SUM(G817:G826)</f>
        <v>0</v>
      </c>
      <c r="H827" s="44"/>
      <c r="I827" s="221">
        <f>SUM(I817:I826)</f>
        <v>0</v>
      </c>
      <c r="J827" s="44"/>
    </row>
    <row r="828" ht="12.75" customHeight="1">
      <c r="A828" s="222" t="s">
        <v>170</v>
      </c>
      <c r="B828" s="49"/>
      <c r="C828" s="49"/>
      <c r="D828" s="49"/>
      <c r="E828" s="49"/>
      <c r="F828" s="49"/>
      <c r="G828" s="49"/>
      <c r="H828" s="49"/>
      <c r="I828" s="49"/>
      <c r="J828" s="50"/>
    </row>
    <row r="829" ht="12.75" customHeight="1">
      <c r="A829" s="223" t="s">
        <v>171</v>
      </c>
      <c r="B829" s="56"/>
      <c r="C829" s="56"/>
      <c r="D829" s="56"/>
      <c r="E829" s="56"/>
      <c r="F829" s="56"/>
      <c r="G829" s="56"/>
      <c r="H829" s="56"/>
      <c r="I829" s="56"/>
      <c r="J829" s="57"/>
    </row>
    <row r="830" ht="12.75" customHeight="1">
      <c r="A830" s="223" t="s">
        <v>172</v>
      </c>
      <c r="B830" s="56"/>
      <c r="C830" s="56"/>
      <c r="D830" s="56"/>
      <c r="E830" s="56"/>
      <c r="F830" s="56"/>
      <c r="G830" s="56"/>
      <c r="H830" s="56"/>
      <c r="I830" s="56"/>
      <c r="J830" s="57"/>
    </row>
    <row r="831" ht="12.75" customHeight="1">
      <c r="A831" s="224" t="s">
        <v>173</v>
      </c>
      <c r="B831" s="207"/>
      <c r="C831" s="207"/>
      <c r="D831" s="207"/>
      <c r="E831" s="207"/>
      <c r="F831" s="207"/>
      <c r="G831" s="207"/>
      <c r="H831" s="207"/>
      <c r="I831" s="207"/>
      <c r="J831" s="208"/>
    </row>
    <row r="832" ht="12.75" customHeight="1">
      <c r="A832" s="118"/>
      <c r="B832" s="8"/>
      <c r="C832" s="8"/>
      <c r="D832" s="8"/>
      <c r="E832" s="8"/>
      <c r="F832" s="8"/>
      <c r="G832" s="8"/>
      <c r="H832" s="8"/>
      <c r="I832" s="8"/>
      <c r="J832" s="9"/>
    </row>
    <row r="833" ht="12.75" customHeight="1">
      <c r="A833" s="10"/>
      <c r="J833" s="31"/>
    </row>
    <row r="834" ht="12.75" customHeight="1">
      <c r="A834" s="10"/>
      <c r="J834" s="31"/>
    </row>
    <row r="835" ht="12.75" customHeight="1">
      <c r="A835" s="10"/>
      <c r="J835" s="31"/>
    </row>
    <row r="836" ht="12.75" customHeight="1">
      <c r="A836" s="10"/>
      <c r="J836" s="31"/>
    </row>
    <row r="837" ht="12.75" customHeight="1">
      <c r="A837" s="10"/>
      <c r="J837" s="31"/>
    </row>
    <row r="838" ht="12.75" customHeight="1">
      <c r="A838" s="10"/>
      <c r="J838" s="31"/>
    </row>
    <row r="839" ht="12.75" customHeight="1">
      <c r="A839" s="10"/>
      <c r="J839" s="31"/>
    </row>
    <row r="840" ht="12.75" customHeight="1">
      <c r="A840" s="10"/>
      <c r="J840" s="31"/>
    </row>
    <row r="841" ht="12.75" customHeight="1">
      <c r="A841" s="10"/>
      <c r="J841" s="31"/>
    </row>
    <row r="842" ht="12.75" customHeight="1">
      <c r="A842" s="10"/>
      <c r="J842" s="31"/>
    </row>
    <row r="843" ht="12.75" customHeight="1">
      <c r="A843" s="10"/>
      <c r="J843" s="31"/>
    </row>
    <row r="844" ht="12.75" customHeight="1">
      <c r="A844" s="10"/>
      <c r="J844" s="31"/>
    </row>
    <row r="845" ht="12.75" customHeight="1">
      <c r="A845" s="10"/>
      <c r="J845" s="31"/>
    </row>
    <row r="846" ht="12.75" customHeight="1">
      <c r="A846" s="10"/>
      <c r="J846" s="31"/>
    </row>
    <row r="847" ht="12.75" customHeight="1">
      <c r="A847" s="10"/>
      <c r="J847" s="31"/>
    </row>
    <row r="848" ht="12.75" customHeight="1">
      <c r="A848" s="10"/>
      <c r="J848" s="31"/>
    </row>
    <row r="849" ht="12.75" customHeight="1">
      <c r="A849" s="10"/>
      <c r="J849" s="31"/>
    </row>
    <row r="850" ht="12.75" customHeight="1">
      <c r="A850" s="10"/>
      <c r="J850" s="31"/>
    </row>
    <row r="851" ht="12.75" customHeight="1">
      <c r="A851" s="10"/>
      <c r="J851" s="31"/>
    </row>
    <row r="852" ht="12.75" customHeight="1">
      <c r="A852" s="10"/>
      <c r="J852" s="31"/>
    </row>
    <row r="853" ht="12.75" customHeight="1">
      <c r="A853" s="10"/>
      <c r="J853" s="31"/>
    </row>
    <row r="854" ht="12.75" customHeight="1">
      <c r="A854" s="10"/>
      <c r="J854" s="31"/>
    </row>
    <row r="855" ht="12.75" customHeight="1">
      <c r="A855" s="10"/>
      <c r="J855" s="31"/>
    </row>
    <row r="856" ht="12.75" customHeight="1">
      <c r="A856" s="10"/>
      <c r="J856" s="31"/>
    </row>
    <row r="857" ht="12.75" customHeight="1">
      <c r="A857" s="10"/>
      <c r="J857" s="31"/>
    </row>
    <row r="858" ht="12.75" customHeight="1">
      <c r="A858" s="10"/>
      <c r="J858" s="31"/>
    </row>
    <row r="859" ht="12.75" customHeight="1">
      <c r="A859" s="10"/>
      <c r="J859" s="31"/>
    </row>
    <row r="860" ht="12.75" customHeight="1">
      <c r="A860" s="10"/>
      <c r="J860" s="31"/>
    </row>
    <row r="861" ht="12.75" customHeight="1">
      <c r="A861" s="10"/>
      <c r="J861" s="31"/>
    </row>
    <row r="862" ht="12.75" customHeight="1">
      <c r="A862" s="10"/>
      <c r="J862" s="31"/>
    </row>
    <row r="863" ht="12.75" customHeight="1">
      <c r="A863" s="10"/>
      <c r="J863" s="31"/>
    </row>
    <row r="864" ht="12.75" customHeight="1">
      <c r="A864" s="10"/>
      <c r="J864" s="31"/>
    </row>
    <row r="865" ht="12.75" customHeight="1">
      <c r="A865" s="10"/>
      <c r="J865" s="31"/>
    </row>
    <row r="866" ht="12.75" customHeight="1">
      <c r="A866" s="21"/>
      <c r="B866" s="53"/>
      <c r="C866" s="53"/>
      <c r="D866" s="53"/>
      <c r="E866" s="53"/>
      <c r="F866" s="53"/>
      <c r="G866" s="53"/>
      <c r="H866" s="53"/>
      <c r="I866" s="53"/>
      <c r="J866" s="54"/>
    </row>
    <row r="867" ht="12.75" customHeight="1"/>
    <row r="868" ht="12.75" customHeight="1">
      <c r="A868" s="127" t="s">
        <v>80</v>
      </c>
      <c r="B868" s="43"/>
      <c r="C868" s="43"/>
      <c r="D868" s="43"/>
      <c r="E868" s="43"/>
      <c r="F868" s="43"/>
      <c r="G868" s="75"/>
      <c r="H868" s="128" t="str">
        <f>'CONTACT INFORMATION'!$A$24</f>
        <v>Amador</v>
      </c>
      <c r="I868" s="43"/>
      <c r="J868" s="44"/>
    </row>
    <row r="869" ht="7.5" customHeight="1">
      <c r="A869" s="232"/>
      <c r="B869" s="68"/>
      <c r="C869" s="68"/>
      <c r="D869" s="68"/>
      <c r="E869" s="68"/>
      <c r="F869" s="68"/>
      <c r="G869" s="68"/>
      <c r="H869" s="68"/>
      <c r="I869" s="68"/>
      <c r="J869" s="233"/>
    </row>
    <row r="870" ht="12.75" customHeight="1">
      <c r="A870" s="203" t="s">
        <v>205</v>
      </c>
      <c r="B870" s="43"/>
      <c r="C870" s="43"/>
      <c r="D870" s="43"/>
      <c r="E870" s="43"/>
      <c r="F870" s="43"/>
      <c r="G870" s="43"/>
      <c r="H870" s="43"/>
      <c r="I870" s="43"/>
      <c r="J870" s="44"/>
    </row>
    <row r="871" ht="12.75" customHeight="1">
      <c r="A871" s="204" t="s">
        <v>155</v>
      </c>
      <c r="B871" s="49"/>
      <c r="C871" s="49"/>
      <c r="D871" s="50"/>
      <c r="E871" s="231"/>
      <c r="F871" s="8"/>
      <c r="G871" s="8"/>
      <c r="H871" s="8"/>
      <c r="I871" s="8"/>
      <c r="J871" s="9"/>
    </row>
    <row r="872" ht="12.75" customHeight="1">
      <c r="A872" s="206" t="s">
        <v>184</v>
      </c>
      <c r="B872" s="207"/>
      <c r="C872" s="207"/>
      <c r="D872" s="208"/>
      <c r="E872" s="21"/>
      <c r="F872" s="53"/>
      <c r="G872" s="53"/>
      <c r="H872" s="53"/>
      <c r="I872" s="53"/>
      <c r="J872" s="54"/>
    </row>
    <row r="873" ht="12.75" customHeight="1">
      <c r="A873" s="209" t="s">
        <v>206</v>
      </c>
      <c r="B873" s="43"/>
      <c r="C873" s="43"/>
      <c r="D873" s="44"/>
      <c r="E873" s="150"/>
      <c r="F873" s="43"/>
      <c r="G873" s="43"/>
      <c r="H873" s="43"/>
      <c r="I873" s="43"/>
      <c r="J873" s="44"/>
    </row>
    <row r="874" ht="27.0" customHeight="1">
      <c r="A874" s="229"/>
      <c r="B874" s="210"/>
      <c r="C874" s="210"/>
      <c r="D874" s="210"/>
      <c r="E874" s="210" t="s">
        <v>159</v>
      </c>
      <c r="F874" s="53"/>
      <c r="G874" s="210" t="s">
        <v>160</v>
      </c>
      <c r="H874" s="53"/>
      <c r="I874" s="211" t="s">
        <v>161</v>
      </c>
      <c r="J874" s="54"/>
    </row>
    <row r="875" ht="12.75" customHeight="1">
      <c r="A875" s="149" t="s">
        <v>162</v>
      </c>
      <c r="B875" s="43"/>
      <c r="C875" s="43"/>
      <c r="D875" s="44"/>
      <c r="E875" s="212"/>
      <c r="F875" s="44"/>
      <c r="G875" s="212"/>
      <c r="H875" s="44"/>
      <c r="I875" s="213"/>
      <c r="J875" s="44"/>
    </row>
    <row r="876" ht="12.75" customHeight="1">
      <c r="A876" s="214" t="s">
        <v>163</v>
      </c>
      <c r="B876" s="43"/>
      <c r="C876" s="43"/>
      <c r="D876" s="44"/>
      <c r="E876" s="215"/>
      <c r="F876" s="44"/>
      <c r="G876" s="216"/>
      <c r="H876" s="44"/>
      <c r="I876" s="217"/>
      <c r="J876" s="44"/>
    </row>
    <row r="877" ht="12.75" customHeight="1">
      <c r="A877" s="149" t="s">
        <v>164</v>
      </c>
      <c r="B877" s="43"/>
      <c r="C877" s="43"/>
      <c r="D877" s="44"/>
      <c r="E877" s="212"/>
      <c r="F877" s="44"/>
      <c r="G877" s="212"/>
      <c r="H877" s="44"/>
      <c r="I877" s="213"/>
      <c r="J877" s="44"/>
    </row>
    <row r="878" ht="12.75" customHeight="1">
      <c r="A878" s="214" t="s">
        <v>165</v>
      </c>
      <c r="B878" s="43"/>
      <c r="C878" s="43"/>
      <c r="D878" s="44"/>
      <c r="E878" s="215"/>
      <c r="F878" s="44"/>
      <c r="G878" s="216"/>
      <c r="H878" s="44"/>
      <c r="I878" s="217"/>
      <c r="J878" s="44"/>
    </row>
    <row r="879" ht="12.75" customHeight="1">
      <c r="A879" s="149" t="s">
        <v>166</v>
      </c>
      <c r="B879" s="43"/>
      <c r="C879" s="43"/>
      <c r="D879" s="44"/>
      <c r="E879" s="212"/>
      <c r="F879" s="44"/>
      <c r="G879" s="212"/>
      <c r="H879" s="44"/>
      <c r="I879" s="213"/>
      <c r="J879" s="44"/>
    </row>
    <row r="880" ht="12.75" customHeight="1">
      <c r="A880" s="214" t="s">
        <v>167</v>
      </c>
      <c r="B880" s="43"/>
      <c r="C880" s="43"/>
      <c r="D880" s="44"/>
      <c r="E880" s="215"/>
      <c r="F880" s="44"/>
      <c r="G880" s="216"/>
      <c r="H880" s="44"/>
      <c r="I880" s="217"/>
      <c r="J880" s="44"/>
    </row>
    <row r="881" ht="12.75" customHeight="1">
      <c r="A881" s="149" t="s">
        <v>168</v>
      </c>
      <c r="B881" s="43"/>
      <c r="C881" s="43"/>
      <c r="D881" s="44"/>
      <c r="E881" s="218"/>
      <c r="F881" s="44"/>
      <c r="G881" s="218"/>
      <c r="H881" s="44"/>
      <c r="I881" s="219"/>
      <c r="J881" s="44"/>
    </row>
    <row r="882" ht="12.75" customHeight="1">
      <c r="A882" s="220"/>
      <c r="B882" s="43"/>
      <c r="C882" s="43"/>
      <c r="D882" s="44"/>
      <c r="E882" s="215"/>
      <c r="F882" s="44"/>
      <c r="G882" s="216"/>
      <c r="H882" s="44"/>
      <c r="I882" s="216"/>
      <c r="J882" s="44"/>
    </row>
    <row r="883" ht="12.75" customHeight="1">
      <c r="A883" s="220"/>
      <c r="B883" s="43"/>
      <c r="C883" s="43"/>
      <c r="D883" s="44"/>
      <c r="E883" s="215"/>
      <c r="F883" s="44"/>
      <c r="G883" s="216"/>
      <c r="H883" s="44"/>
      <c r="I883" s="216"/>
      <c r="J883" s="44"/>
    </row>
    <row r="884" ht="12.75" customHeight="1">
      <c r="A884" s="220"/>
      <c r="B884" s="43"/>
      <c r="C884" s="43"/>
      <c r="D884" s="44"/>
      <c r="E884" s="215"/>
      <c r="F884" s="44"/>
      <c r="G884" s="216"/>
      <c r="H884" s="44"/>
      <c r="I884" s="216"/>
      <c r="J884" s="44"/>
    </row>
    <row r="885" ht="12.75" customHeight="1">
      <c r="A885" s="151" t="s">
        <v>169</v>
      </c>
      <c r="B885" s="43"/>
      <c r="C885" s="43"/>
      <c r="D885" s="44"/>
      <c r="E885" s="221">
        <f>SUM(E875:E884)</f>
        <v>0</v>
      </c>
      <c r="F885" s="44"/>
      <c r="G885" s="221">
        <f>SUM(G875:G884)</f>
        <v>0</v>
      </c>
      <c r="H885" s="44"/>
      <c r="I885" s="221">
        <f>SUM(I875:I884)</f>
        <v>0</v>
      </c>
      <c r="J885" s="44"/>
    </row>
    <row r="886" ht="12.75" customHeight="1">
      <c r="A886" s="222" t="s">
        <v>170</v>
      </c>
      <c r="B886" s="49"/>
      <c r="C886" s="49"/>
      <c r="D886" s="49"/>
      <c r="E886" s="49"/>
      <c r="F886" s="49"/>
      <c r="G886" s="49"/>
      <c r="H886" s="49"/>
      <c r="I886" s="49"/>
      <c r="J886" s="50"/>
    </row>
    <row r="887" ht="12.75" customHeight="1">
      <c r="A887" s="223" t="s">
        <v>171</v>
      </c>
      <c r="B887" s="56"/>
      <c r="C887" s="56"/>
      <c r="D887" s="56"/>
      <c r="E887" s="56"/>
      <c r="F887" s="56"/>
      <c r="G887" s="56"/>
      <c r="H887" s="56"/>
      <c r="I887" s="56"/>
      <c r="J887" s="57"/>
    </row>
    <row r="888" ht="12.75" customHeight="1">
      <c r="A888" s="223" t="s">
        <v>172</v>
      </c>
      <c r="B888" s="56"/>
      <c r="C888" s="56"/>
      <c r="D888" s="56"/>
      <c r="E888" s="56"/>
      <c r="F888" s="56"/>
      <c r="G888" s="56"/>
      <c r="H888" s="56"/>
      <c r="I888" s="56"/>
      <c r="J888" s="57"/>
    </row>
    <row r="889" ht="12.75" customHeight="1">
      <c r="A889" s="224" t="s">
        <v>173</v>
      </c>
      <c r="B889" s="207"/>
      <c r="C889" s="207"/>
      <c r="D889" s="207"/>
      <c r="E889" s="207"/>
      <c r="F889" s="207"/>
      <c r="G889" s="207"/>
      <c r="H889" s="207"/>
      <c r="I889" s="207"/>
      <c r="J889" s="208"/>
    </row>
    <row r="890" ht="12.75" customHeight="1">
      <c r="A890" s="118"/>
      <c r="B890" s="8"/>
      <c r="C890" s="8"/>
      <c r="D890" s="8"/>
      <c r="E890" s="8"/>
      <c r="F890" s="8"/>
      <c r="G890" s="8"/>
      <c r="H890" s="8"/>
      <c r="I890" s="8"/>
      <c r="J890" s="9"/>
    </row>
    <row r="891" ht="12.75" customHeight="1">
      <c r="A891" s="10"/>
      <c r="J891" s="31"/>
    </row>
    <row r="892" ht="12.75" customHeight="1">
      <c r="A892" s="10"/>
      <c r="J892" s="31"/>
    </row>
    <row r="893" ht="12.75" customHeight="1">
      <c r="A893" s="10"/>
      <c r="J893" s="31"/>
    </row>
    <row r="894" ht="12.75" customHeight="1">
      <c r="A894" s="10"/>
      <c r="J894" s="31"/>
    </row>
    <row r="895" ht="12.75" customHeight="1">
      <c r="A895" s="10"/>
      <c r="J895" s="31"/>
    </row>
    <row r="896" ht="12.75" customHeight="1">
      <c r="A896" s="10"/>
      <c r="J896" s="31"/>
    </row>
    <row r="897" ht="12.75" customHeight="1">
      <c r="A897" s="10"/>
      <c r="J897" s="31"/>
    </row>
    <row r="898" ht="12.75" customHeight="1">
      <c r="A898" s="10"/>
      <c r="J898" s="31"/>
    </row>
    <row r="899" ht="12.75" customHeight="1">
      <c r="A899" s="10"/>
      <c r="J899" s="31"/>
    </row>
    <row r="900" ht="12.75" customHeight="1">
      <c r="A900" s="10"/>
      <c r="J900" s="31"/>
    </row>
    <row r="901" ht="12.75" customHeight="1">
      <c r="A901" s="10"/>
      <c r="J901" s="31"/>
    </row>
    <row r="902" ht="12.75" customHeight="1">
      <c r="A902" s="10"/>
      <c r="J902" s="31"/>
    </row>
    <row r="903" ht="12.75" customHeight="1">
      <c r="A903" s="10"/>
      <c r="J903" s="31"/>
    </row>
    <row r="904" ht="12.75" customHeight="1">
      <c r="A904" s="10"/>
      <c r="J904" s="31"/>
    </row>
    <row r="905" ht="12.75" customHeight="1">
      <c r="A905" s="10"/>
      <c r="J905" s="31"/>
    </row>
    <row r="906" ht="12.75" customHeight="1">
      <c r="A906" s="10"/>
      <c r="J906" s="31"/>
    </row>
    <row r="907" ht="12.75" customHeight="1">
      <c r="A907" s="10"/>
      <c r="J907" s="31"/>
    </row>
    <row r="908" ht="12.75" customHeight="1">
      <c r="A908" s="10"/>
      <c r="J908" s="31"/>
    </row>
    <row r="909" ht="12.75" customHeight="1">
      <c r="A909" s="10"/>
      <c r="J909" s="31"/>
    </row>
    <row r="910" ht="12.75" customHeight="1">
      <c r="A910" s="10"/>
      <c r="J910" s="31"/>
    </row>
    <row r="911" ht="12.75" customHeight="1">
      <c r="A911" s="10"/>
      <c r="J911" s="31"/>
    </row>
    <row r="912" ht="12.75" customHeight="1">
      <c r="A912" s="10"/>
      <c r="J912" s="31"/>
    </row>
    <row r="913" ht="12.75" customHeight="1">
      <c r="A913" s="10"/>
      <c r="J913" s="31"/>
    </row>
    <row r="914" ht="12.75" customHeight="1">
      <c r="A914" s="10"/>
      <c r="J914" s="31"/>
    </row>
    <row r="915" ht="12.75" customHeight="1">
      <c r="A915" s="10"/>
      <c r="J915" s="31"/>
    </row>
    <row r="916" ht="12.75" customHeight="1">
      <c r="A916" s="10"/>
      <c r="J916" s="31"/>
    </row>
    <row r="917" ht="12.75" customHeight="1">
      <c r="A917" s="10"/>
      <c r="J917" s="31"/>
    </row>
    <row r="918" ht="12.75" customHeight="1">
      <c r="A918" s="10"/>
      <c r="J918" s="31"/>
    </row>
    <row r="919" ht="12.75" customHeight="1">
      <c r="A919" s="10"/>
      <c r="J919" s="31"/>
    </row>
    <row r="920" ht="12.75" customHeight="1">
      <c r="A920" s="10"/>
      <c r="J920" s="31"/>
    </row>
    <row r="921" ht="12.75" customHeight="1">
      <c r="A921" s="10"/>
      <c r="J921" s="31"/>
    </row>
    <row r="922" ht="12.75" customHeight="1">
      <c r="A922" s="10"/>
      <c r="J922" s="31"/>
    </row>
    <row r="923" ht="12.75" customHeight="1">
      <c r="A923" s="10"/>
      <c r="J923" s="31"/>
    </row>
    <row r="924" ht="12.75" customHeight="1">
      <c r="A924" s="21"/>
      <c r="B924" s="53"/>
      <c r="C924" s="53"/>
      <c r="D924" s="53"/>
      <c r="E924" s="53"/>
      <c r="F924" s="53"/>
      <c r="G924" s="53"/>
      <c r="H924" s="53"/>
      <c r="I924" s="53"/>
      <c r="J924" s="54"/>
    </row>
    <row r="925" ht="12.75" customHeight="1"/>
    <row r="926" ht="12.75" customHeight="1">
      <c r="A926" s="127" t="s">
        <v>80</v>
      </c>
      <c r="B926" s="43"/>
      <c r="C926" s="43"/>
      <c r="D926" s="43"/>
      <c r="E926" s="43"/>
      <c r="F926" s="43"/>
      <c r="G926" s="75"/>
      <c r="H926" s="128" t="str">
        <f>'CONTACT INFORMATION'!$A$24</f>
        <v>Amador</v>
      </c>
      <c r="I926" s="43"/>
      <c r="J926" s="44"/>
    </row>
    <row r="927" ht="8.25" customHeight="1">
      <c r="A927" s="228"/>
      <c r="B927" s="228"/>
      <c r="C927" s="228"/>
      <c r="D927" s="228"/>
      <c r="E927" s="228"/>
      <c r="F927" s="228"/>
      <c r="G927" s="228"/>
      <c r="H927" s="228"/>
      <c r="I927" s="228"/>
      <c r="J927" s="228"/>
    </row>
    <row r="928" ht="12.75" customHeight="1">
      <c r="A928" s="203" t="s">
        <v>207</v>
      </c>
      <c r="B928" s="43"/>
      <c r="C928" s="43"/>
      <c r="D928" s="43"/>
      <c r="E928" s="43"/>
      <c r="F928" s="43"/>
      <c r="G928" s="43"/>
      <c r="H928" s="43"/>
      <c r="I928" s="43"/>
      <c r="J928" s="44"/>
    </row>
    <row r="929" ht="12.75" customHeight="1">
      <c r="A929" s="204" t="s">
        <v>155</v>
      </c>
      <c r="B929" s="49"/>
      <c r="C929" s="49"/>
      <c r="D929" s="50"/>
      <c r="E929" s="231"/>
      <c r="F929" s="8"/>
      <c r="G929" s="8"/>
      <c r="H929" s="8"/>
      <c r="I929" s="8"/>
      <c r="J929" s="9"/>
    </row>
    <row r="930" ht="12.75" customHeight="1">
      <c r="A930" s="206" t="s">
        <v>184</v>
      </c>
      <c r="B930" s="207"/>
      <c r="C930" s="207"/>
      <c r="D930" s="208"/>
      <c r="E930" s="21"/>
      <c r="F930" s="53"/>
      <c r="G930" s="53"/>
      <c r="H930" s="53"/>
      <c r="I930" s="53"/>
      <c r="J930" s="54"/>
    </row>
    <row r="931" ht="12.75" customHeight="1">
      <c r="A931" s="209" t="s">
        <v>208</v>
      </c>
      <c r="B931" s="43"/>
      <c r="C931" s="43"/>
      <c r="D931" s="44"/>
      <c r="E931" s="150"/>
      <c r="F931" s="43"/>
      <c r="G931" s="43"/>
      <c r="H931" s="43"/>
      <c r="I931" s="43"/>
      <c r="J931" s="44"/>
    </row>
    <row r="932" ht="27.0" customHeight="1">
      <c r="A932" s="229"/>
      <c r="B932" s="210"/>
      <c r="C932" s="210"/>
      <c r="D932" s="210"/>
      <c r="E932" s="210" t="s">
        <v>159</v>
      </c>
      <c r="F932" s="53"/>
      <c r="G932" s="210" t="s">
        <v>160</v>
      </c>
      <c r="H932" s="53"/>
      <c r="I932" s="211" t="s">
        <v>161</v>
      </c>
      <c r="J932" s="54"/>
    </row>
    <row r="933" ht="12.75" customHeight="1">
      <c r="A933" s="149" t="s">
        <v>162</v>
      </c>
      <c r="B933" s="43"/>
      <c r="C933" s="43"/>
      <c r="D933" s="44"/>
      <c r="E933" s="212"/>
      <c r="F933" s="44"/>
      <c r="G933" s="212"/>
      <c r="H933" s="44"/>
      <c r="I933" s="213"/>
      <c r="J933" s="44"/>
    </row>
    <row r="934" ht="12.75" customHeight="1">
      <c r="A934" s="214" t="s">
        <v>163</v>
      </c>
      <c r="B934" s="43"/>
      <c r="C934" s="43"/>
      <c r="D934" s="44"/>
      <c r="E934" s="215"/>
      <c r="F934" s="44"/>
      <c r="G934" s="216"/>
      <c r="H934" s="44"/>
      <c r="I934" s="217"/>
      <c r="J934" s="44"/>
    </row>
    <row r="935" ht="12.75" customHeight="1">
      <c r="A935" s="149" t="s">
        <v>164</v>
      </c>
      <c r="B935" s="43"/>
      <c r="C935" s="43"/>
      <c r="D935" s="44"/>
      <c r="E935" s="212"/>
      <c r="F935" s="44"/>
      <c r="G935" s="212"/>
      <c r="H935" s="44"/>
      <c r="I935" s="213"/>
      <c r="J935" s="44"/>
    </row>
    <row r="936" ht="12.75" customHeight="1">
      <c r="A936" s="214" t="s">
        <v>165</v>
      </c>
      <c r="B936" s="43"/>
      <c r="C936" s="43"/>
      <c r="D936" s="44"/>
      <c r="E936" s="215"/>
      <c r="F936" s="44"/>
      <c r="G936" s="216"/>
      <c r="H936" s="44"/>
      <c r="I936" s="217"/>
      <c r="J936" s="44"/>
    </row>
    <row r="937" ht="12.75" customHeight="1">
      <c r="A937" s="149" t="s">
        <v>166</v>
      </c>
      <c r="B937" s="43"/>
      <c r="C937" s="43"/>
      <c r="D937" s="44"/>
      <c r="E937" s="212"/>
      <c r="F937" s="44"/>
      <c r="G937" s="212"/>
      <c r="H937" s="44"/>
      <c r="I937" s="213"/>
      <c r="J937" s="44"/>
    </row>
    <row r="938" ht="12.75" customHeight="1">
      <c r="A938" s="214" t="s">
        <v>167</v>
      </c>
      <c r="B938" s="43"/>
      <c r="C938" s="43"/>
      <c r="D938" s="44"/>
      <c r="E938" s="215"/>
      <c r="F938" s="44"/>
      <c r="G938" s="216"/>
      <c r="H938" s="44"/>
      <c r="I938" s="217"/>
      <c r="J938" s="44"/>
    </row>
    <row r="939" ht="12.75" customHeight="1">
      <c r="A939" s="149" t="s">
        <v>168</v>
      </c>
      <c r="B939" s="43"/>
      <c r="C939" s="43"/>
      <c r="D939" s="44"/>
      <c r="E939" s="218"/>
      <c r="F939" s="44"/>
      <c r="G939" s="218"/>
      <c r="H939" s="44"/>
      <c r="I939" s="219"/>
      <c r="J939" s="44"/>
    </row>
    <row r="940" ht="12.75" customHeight="1">
      <c r="A940" s="220"/>
      <c r="B940" s="43"/>
      <c r="C940" s="43"/>
      <c r="D940" s="44"/>
      <c r="E940" s="215"/>
      <c r="F940" s="44"/>
      <c r="G940" s="216"/>
      <c r="H940" s="44"/>
      <c r="I940" s="216"/>
      <c r="J940" s="44"/>
    </row>
    <row r="941" ht="12.75" customHeight="1">
      <c r="A941" s="220"/>
      <c r="B941" s="43"/>
      <c r="C941" s="43"/>
      <c r="D941" s="44"/>
      <c r="E941" s="215"/>
      <c r="F941" s="44"/>
      <c r="G941" s="216"/>
      <c r="H941" s="44"/>
      <c r="I941" s="216"/>
      <c r="J941" s="44"/>
    </row>
    <row r="942" ht="12.75" customHeight="1">
      <c r="A942" s="220"/>
      <c r="B942" s="43"/>
      <c r="C942" s="43"/>
      <c r="D942" s="44"/>
      <c r="E942" s="215"/>
      <c r="F942" s="44"/>
      <c r="G942" s="216"/>
      <c r="H942" s="44"/>
      <c r="I942" s="216"/>
      <c r="J942" s="44"/>
    </row>
    <row r="943" ht="12.75" customHeight="1">
      <c r="A943" s="151" t="s">
        <v>169</v>
      </c>
      <c r="B943" s="43"/>
      <c r="C943" s="43"/>
      <c r="D943" s="44"/>
      <c r="E943" s="221">
        <f>SUM(E933:E942)</f>
        <v>0</v>
      </c>
      <c r="F943" s="44"/>
      <c r="G943" s="221">
        <f>SUM(G933:G942)</f>
        <v>0</v>
      </c>
      <c r="H943" s="44"/>
      <c r="I943" s="221">
        <f>SUM(I933:I942)</f>
        <v>0</v>
      </c>
      <c r="J943" s="44"/>
    </row>
    <row r="944" ht="12.75" customHeight="1">
      <c r="A944" s="222" t="s">
        <v>170</v>
      </c>
      <c r="B944" s="49"/>
      <c r="C944" s="49"/>
      <c r="D944" s="49"/>
      <c r="E944" s="49"/>
      <c r="F944" s="49"/>
      <c r="G944" s="49"/>
      <c r="H944" s="49"/>
      <c r="I944" s="49"/>
      <c r="J944" s="50"/>
    </row>
    <row r="945" ht="12.75" customHeight="1">
      <c r="A945" s="223" t="s">
        <v>171</v>
      </c>
      <c r="B945" s="56"/>
      <c r="C945" s="56"/>
      <c r="D945" s="56"/>
      <c r="E945" s="56"/>
      <c r="F945" s="56"/>
      <c r="G945" s="56"/>
      <c r="H945" s="56"/>
      <c r="I945" s="56"/>
      <c r="J945" s="57"/>
    </row>
    <row r="946" ht="12.75" customHeight="1">
      <c r="A946" s="223" t="s">
        <v>172</v>
      </c>
      <c r="B946" s="56"/>
      <c r="C946" s="56"/>
      <c r="D946" s="56"/>
      <c r="E946" s="56"/>
      <c r="F946" s="56"/>
      <c r="G946" s="56"/>
      <c r="H946" s="56"/>
      <c r="I946" s="56"/>
      <c r="J946" s="57"/>
    </row>
    <row r="947" ht="12.75" customHeight="1">
      <c r="A947" s="224" t="s">
        <v>173</v>
      </c>
      <c r="B947" s="207"/>
      <c r="C947" s="207"/>
      <c r="D947" s="207"/>
      <c r="E947" s="207"/>
      <c r="F947" s="207"/>
      <c r="G947" s="207"/>
      <c r="H947" s="207"/>
      <c r="I947" s="207"/>
      <c r="J947" s="208"/>
    </row>
    <row r="948" ht="12.75" customHeight="1">
      <c r="A948" s="118"/>
      <c r="B948" s="8"/>
      <c r="C948" s="8"/>
      <c r="D948" s="8"/>
      <c r="E948" s="8"/>
      <c r="F948" s="8"/>
      <c r="G948" s="8"/>
      <c r="H948" s="8"/>
      <c r="I948" s="8"/>
      <c r="J948" s="9"/>
    </row>
    <row r="949" ht="12.75" customHeight="1">
      <c r="A949" s="10"/>
      <c r="J949" s="31"/>
    </row>
    <row r="950" ht="12.75" customHeight="1">
      <c r="A950" s="10"/>
      <c r="J950" s="31"/>
    </row>
    <row r="951" ht="12.75" customHeight="1">
      <c r="A951" s="10"/>
      <c r="J951" s="31"/>
    </row>
    <row r="952" ht="12.75" customHeight="1">
      <c r="A952" s="10"/>
      <c r="J952" s="31"/>
    </row>
    <row r="953" ht="12.75" customHeight="1">
      <c r="A953" s="10"/>
      <c r="J953" s="31"/>
    </row>
    <row r="954" ht="12.75" customHeight="1">
      <c r="A954" s="10"/>
      <c r="J954" s="31"/>
    </row>
    <row r="955" ht="12.75" customHeight="1">
      <c r="A955" s="10"/>
      <c r="J955" s="31"/>
    </row>
    <row r="956" ht="12.75" customHeight="1">
      <c r="A956" s="10"/>
      <c r="J956" s="31"/>
    </row>
    <row r="957" ht="12.75" customHeight="1">
      <c r="A957" s="10"/>
      <c r="J957" s="31"/>
    </row>
    <row r="958" ht="12.75" customHeight="1">
      <c r="A958" s="10"/>
      <c r="J958" s="31"/>
    </row>
    <row r="959" ht="12.75" customHeight="1">
      <c r="A959" s="10"/>
      <c r="J959" s="31"/>
    </row>
    <row r="960" ht="12.75" customHeight="1">
      <c r="A960" s="10"/>
      <c r="J960" s="31"/>
    </row>
    <row r="961" ht="12.75" customHeight="1">
      <c r="A961" s="10"/>
      <c r="J961" s="31"/>
    </row>
    <row r="962" ht="12.75" customHeight="1">
      <c r="A962" s="10"/>
      <c r="J962" s="31"/>
    </row>
    <row r="963" ht="12.75" customHeight="1">
      <c r="A963" s="10"/>
      <c r="J963" s="31"/>
    </row>
    <row r="964" ht="12.75" customHeight="1">
      <c r="A964" s="10"/>
      <c r="J964" s="31"/>
    </row>
    <row r="965" ht="12.75" customHeight="1">
      <c r="A965" s="10"/>
      <c r="J965" s="31"/>
    </row>
    <row r="966" ht="12.75" customHeight="1">
      <c r="A966" s="10"/>
      <c r="J966" s="31"/>
    </row>
    <row r="967" ht="12.75" customHeight="1">
      <c r="A967" s="10"/>
      <c r="J967" s="31"/>
    </row>
    <row r="968" ht="12.75" customHeight="1">
      <c r="A968" s="10"/>
      <c r="J968" s="31"/>
    </row>
    <row r="969" ht="12.75" customHeight="1">
      <c r="A969" s="10"/>
      <c r="J969" s="31"/>
    </row>
    <row r="970" ht="12.75" customHeight="1">
      <c r="A970" s="10"/>
      <c r="J970" s="31"/>
    </row>
    <row r="971" ht="12.75" customHeight="1">
      <c r="A971" s="10"/>
      <c r="J971" s="31"/>
    </row>
    <row r="972" ht="12.75" customHeight="1">
      <c r="A972" s="10"/>
      <c r="J972" s="31"/>
    </row>
    <row r="973" ht="12.75" customHeight="1">
      <c r="A973" s="10"/>
      <c r="J973" s="31"/>
    </row>
    <row r="974" ht="12.75" customHeight="1">
      <c r="A974" s="10"/>
      <c r="J974" s="31"/>
    </row>
    <row r="975" ht="12.75" customHeight="1">
      <c r="A975" s="10"/>
      <c r="J975" s="31"/>
    </row>
    <row r="976" ht="12.75" customHeight="1">
      <c r="A976" s="10"/>
      <c r="J976" s="31"/>
    </row>
    <row r="977" ht="12.75" customHeight="1">
      <c r="A977" s="10"/>
      <c r="J977" s="31"/>
    </row>
    <row r="978" ht="12.75" customHeight="1">
      <c r="A978" s="10"/>
      <c r="J978" s="31"/>
    </row>
    <row r="979" ht="12.75" customHeight="1">
      <c r="A979" s="10"/>
      <c r="J979" s="31"/>
    </row>
    <row r="980" ht="12.75" customHeight="1">
      <c r="A980" s="10"/>
      <c r="J980" s="31"/>
    </row>
    <row r="981" ht="12.75" customHeight="1">
      <c r="A981" s="10"/>
      <c r="J981" s="31"/>
    </row>
    <row r="982" ht="12.75" customHeight="1">
      <c r="A982" s="21"/>
      <c r="B982" s="53"/>
      <c r="C982" s="53"/>
      <c r="D982" s="53"/>
      <c r="E982" s="53"/>
      <c r="F982" s="53"/>
      <c r="G982" s="53"/>
      <c r="H982" s="53"/>
      <c r="I982" s="53"/>
      <c r="J982" s="54"/>
    </row>
    <row r="983" ht="12.75" customHeight="1"/>
    <row r="984" ht="12.75" customHeight="1"/>
    <row r="985" ht="7.5" customHeight="1"/>
    <row r="986" ht="12.75" customHeight="1"/>
    <row r="987" ht="12.75" customHeight="1"/>
    <row r="988" ht="12.75" customHeight="1"/>
    <row r="989" ht="12.75" customHeight="1"/>
    <row r="990" ht="27.0"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0"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0"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A127:J127"/>
    <mergeCell ref="A128:D128"/>
    <mergeCell ref="E128:J129"/>
    <mergeCell ref="A129:D129"/>
    <mergeCell ref="E130:J130"/>
    <mergeCell ref="E131:F131"/>
    <mergeCell ref="G131:H131"/>
    <mergeCell ref="I131:J131"/>
    <mergeCell ref="G133:H133"/>
    <mergeCell ref="I133:J133"/>
    <mergeCell ref="G141:H141"/>
    <mergeCell ref="I141:J141"/>
    <mergeCell ref="G187:H187"/>
    <mergeCell ref="I187:J187"/>
    <mergeCell ref="E185:F185"/>
    <mergeCell ref="G185:H185"/>
    <mergeCell ref="I185:J185"/>
    <mergeCell ref="E186:F186"/>
    <mergeCell ref="G186:H186"/>
    <mergeCell ref="I186:J186"/>
    <mergeCell ref="E187:F187"/>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240:H240"/>
    <mergeCell ref="I240:J240"/>
    <mergeCell ref="E238:F238"/>
    <mergeCell ref="G238:H238"/>
    <mergeCell ref="I238:J238"/>
    <mergeCell ref="E239:F239"/>
    <mergeCell ref="G239:H239"/>
    <mergeCell ref="I239:J239"/>
    <mergeCell ref="E240:F240"/>
    <mergeCell ref="G245:H245"/>
    <mergeCell ref="I245:J245"/>
    <mergeCell ref="E243:F243"/>
    <mergeCell ref="G243:H243"/>
    <mergeCell ref="I243:J243"/>
    <mergeCell ref="E244:F244"/>
    <mergeCell ref="G244:H244"/>
    <mergeCell ref="I244:J244"/>
    <mergeCell ref="E245:F245"/>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E235:J235"/>
    <mergeCell ref="E236:F236"/>
    <mergeCell ref="G236:H236"/>
    <mergeCell ref="I236:J236"/>
    <mergeCell ref="E237:F237"/>
    <mergeCell ref="G237:H237"/>
    <mergeCell ref="I237:J237"/>
    <mergeCell ref="A241:D241"/>
    <mergeCell ref="E241:F241"/>
    <mergeCell ref="G241:H241"/>
    <mergeCell ref="I241:J241"/>
    <mergeCell ref="E242:F242"/>
    <mergeCell ref="G242:H242"/>
    <mergeCell ref="I242:J242"/>
    <mergeCell ref="G298:H298"/>
    <mergeCell ref="I298:J298"/>
    <mergeCell ref="E296:F296"/>
    <mergeCell ref="G296:H296"/>
    <mergeCell ref="I296:J296"/>
    <mergeCell ref="E297:F297"/>
    <mergeCell ref="G297:H297"/>
    <mergeCell ref="I297:J297"/>
    <mergeCell ref="E298:F298"/>
    <mergeCell ref="E299:F299"/>
    <mergeCell ref="G299:H299"/>
    <mergeCell ref="I299:J299"/>
    <mergeCell ref="A299:D299"/>
    <mergeCell ref="A300:D300"/>
    <mergeCell ref="E300:F300"/>
    <mergeCell ref="G300:H300"/>
    <mergeCell ref="I300:J300"/>
    <mergeCell ref="A301:D301"/>
    <mergeCell ref="E301:F301"/>
    <mergeCell ref="E303:F303"/>
    <mergeCell ref="G303:H303"/>
    <mergeCell ref="G301:H301"/>
    <mergeCell ref="I301:J301"/>
    <mergeCell ref="A302:D302"/>
    <mergeCell ref="E302:F302"/>
    <mergeCell ref="G302:H302"/>
    <mergeCell ref="I302:J302"/>
    <mergeCell ref="I303:J303"/>
    <mergeCell ref="G305:H305"/>
    <mergeCell ref="I305:J305"/>
    <mergeCell ref="A303:D303"/>
    <mergeCell ref="A304:D304"/>
    <mergeCell ref="E304:F304"/>
    <mergeCell ref="G304:H304"/>
    <mergeCell ref="I304:J304"/>
    <mergeCell ref="A305:D305"/>
    <mergeCell ref="E305:F305"/>
    <mergeCell ref="A233:D233"/>
    <mergeCell ref="A234:D234"/>
    <mergeCell ref="A235:D235"/>
    <mergeCell ref="A237:D237"/>
    <mergeCell ref="A238:D238"/>
    <mergeCell ref="A239:D239"/>
    <mergeCell ref="A240:D240"/>
    <mergeCell ref="A242:D242"/>
    <mergeCell ref="A243:D243"/>
    <mergeCell ref="A244:D244"/>
    <mergeCell ref="A245:D245"/>
    <mergeCell ref="E246:F246"/>
    <mergeCell ref="G246:H246"/>
    <mergeCell ref="I246:J246"/>
    <mergeCell ref="A246:D246"/>
    <mergeCell ref="A247:D247"/>
    <mergeCell ref="E247:F247"/>
    <mergeCell ref="G247:H247"/>
    <mergeCell ref="I247:J247"/>
    <mergeCell ref="A248:J248"/>
    <mergeCell ref="A249:J249"/>
    <mergeCell ref="A250:J250"/>
    <mergeCell ref="A251:J251"/>
    <mergeCell ref="A252:J285"/>
    <mergeCell ref="A288:G288"/>
    <mergeCell ref="H288:J288"/>
    <mergeCell ref="A290:J290"/>
    <mergeCell ref="E291:J292"/>
    <mergeCell ref="E293:J293"/>
    <mergeCell ref="E294:F294"/>
    <mergeCell ref="G294:H294"/>
    <mergeCell ref="I294:J294"/>
    <mergeCell ref="E295:F295"/>
    <mergeCell ref="G295:H295"/>
    <mergeCell ref="I295:J295"/>
    <mergeCell ref="A291:D291"/>
    <mergeCell ref="A292:D292"/>
    <mergeCell ref="A293:D293"/>
    <mergeCell ref="A295:D295"/>
    <mergeCell ref="A296:D296"/>
    <mergeCell ref="A297:D297"/>
    <mergeCell ref="A298:D298"/>
    <mergeCell ref="A306:J306"/>
    <mergeCell ref="A307:J307"/>
    <mergeCell ref="A308:J308"/>
    <mergeCell ref="A309:J309"/>
    <mergeCell ref="A310:J344"/>
    <mergeCell ref="A346:G346"/>
    <mergeCell ref="H346:J346"/>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G360:H360"/>
    <mergeCell ref="I360:J360"/>
    <mergeCell ref="E409:J409"/>
    <mergeCell ref="E410:F410"/>
    <mergeCell ref="G410:H410"/>
    <mergeCell ref="I410:J410"/>
    <mergeCell ref="E411:F411"/>
    <mergeCell ref="G411:H411"/>
    <mergeCell ref="I411:J411"/>
    <mergeCell ref="A418:D418"/>
    <mergeCell ref="E418:F418"/>
    <mergeCell ref="G418:H418"/>
    <mergeCell ref="I418:J418"/>
    <mergeCell ref="E419:F419"/>
    <mergeCell ref="G419:H419"/>
    <mergeCell ref="I419:J419"/>
    <mergeCell ref="A419:D419"/>
    <mergeCell ref="A420:D420"/>
    <mergeCell ref="E420:F420"/>
    <mergeCell ref="G420:H420"/>
    <mergeCell ref="I420:J420"/>
    <mergeCell ref="A421:D421"/>
    <mergeCell ref="E421:F421"/>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G415:H415"/>
    <mergeCell ref="I415:J415"/>
    <mergeCell ref="G417:H417"/>
    <mergeCell ref="I417:J417"/>
    <mergeCell ref="A415:D415"/>
    <mergeCell ref="A416:D416"/>
    <mergeCell ref="E416:F416"/>
    <mergeCell ref="G416:H416"/>
    <mergeCell ref="I416:J416"/>
    <mergeCell ref="A417:D417"/>
    <mergeCell ref="E417:F417"/>
    <mergeCell ref="G421:H421"/>
    <mergeCell ref="I421:J421"/>
    <mergeCell ref="A422:J422"/>
    <mergeCell ref="A423:J423"/>
    <mergeCell ref="A424:J424"/>
    <mergeCell ref="A425:J425"/>
    <mergeCell ref="A426:J460"/>
    <mergeCell ref="A462:G462"/>
    <mergeCell ref="H462:J462"/>
    <mergeCell ref="A473:D473"/>
    <mergeCell ref="E473:F473"/>
    <mergeCell ref="G473:H473"/>
    <mergeCell ref="I473:J473"/>
    <mergeCell ref="E474:F474"/>
    <mergeCell ref="G474:H474"/>
    <mergeCell ref="I474:J474"/>
    <mergeCell ref="A474:D474"/>
    <mergeCell ref="A475:D475"/>
    <mergeCell ref="E475:F475"/>
    <mergeCell ref="G475:H475"/>
    <mergeCell ref="I475:J475"/>
    <mergeCell ref="A476:D476"/>
    <mergeCell ref="E476:F476"/>
    <mergeCell ref="A477:D477"/>
    <mergeCell ref="E477:F477"/>
    <mergeCell ref="G477:H477"/>
    <mergeCell ref="I477:J477"/>
    <mergeCell ref="E478:F478"/>
    <mergeCell ref="G478:H478"/>
    <mergeCell ref="I478:J478"/>
    <mergeCell ref="A478:D478"/>
    <mergeCell ref="A479:D479"/>
    <mergeCell ref="E479:F479"/>
    <mergeCell ref="G479:H479"/>
    <mergeCell ref="I479:J479"/>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E585:F585"/>
    <mergeCell ref="G585:H585"/>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G592:H592"/>
    <mergeCell ref="I592:J592"/>
    <mergeCell ref="E641:J641"/>
    <mergeCell ref="E642:F642"/>
    <mergeCell ref="G642:H642"/>
    <mergeCell ref="I642:J642"/>
    <mergeCell ref="E643:F643"/>
    <mergeCell ref="G643:H643"/>
    <mergeCell ref="I643:J643"/>
    <mergeCell ref="A650:D650"/>
    <mergeCell ref="E650:F650"/>
    <mergeCell ref="G650:H650"/>
    <mergeCell ref="I650:J650"/>
    <mergeCell ref="E651:F651"/>
    <mergeCell ref="G651:H651"/>
    <mergeCell ref="I651:J651"/>
    <mergeCell ref="A651:D651"/>
    <mergeCell ref="A652:D652"/>
    <mergeCell ref="E652:F652"/>
    <mergeCell ref="G652:H652"/>
    <mergeCell ref="I652:J652"/>
    <mergeCell ref="A653:D653"/>
    <mergeCell ref="E653:F653"/>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I648:J648"/>
    <mergeCell ref="A649:D649"/>
    <mergeCell ref="E649:F649"/>
    <mergeCell ref="G653:H653"/>
    <mergeCell ref="I653:J653"/>
    <mergeCell ref="A654:J654"/>
    <mergeCell ref="A655:J655"/>
    <mergeCell ref="A656:J656"/>
    <mergeCell ref="A657:J657"/>
    <mergeCell ref="A658:J692"/>
    <mergeCell ref="A694:G694"/>
    <mergeCell ref="H694:J694"/>
    <mergeCell ref="A523:D523"/>
    <mergeCell ref="A524:D524"/>
    <mergeCell ref="A525:D525"/>
    <mergeCell ref="A482:J482"/>
    <mergeCell ref="A483:J483"/>
    <mergeCell ref="A484:J518"/>
    <mergeCell ref="A520:G520"/>
    <mergeCell ref="H520:J520"/>
    <mergeCell ref="A522:J522"/>
    <mergeCell ref="E523:J524"/>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0:F470"/>
    <mergeCell ref="G470:H470"/>
    <mergeCell ref="I470:J470"/>
    <mergeCell ref="G472:H472"/>
    <mergeCell ref="I472:J472"/>
    <mergeCell ref="A470:D470"/>
    <mergeCell ref="A471:D471"/>
    <mergeCell ref="E471:F471"/>
    <mergeCell ref="G471:H471"/>
    <mergeCell ref="I471:J471"/>
    <mergeCell ref="A472:D472"/>
    <mergeCell ref="E472:F472"/>
    <mergeCell ref="G476:H476"/>
    <mergeCell ref="I476:J476"/>
    <mergeCell ref="E525:J525"/>
    <mergeCell ref="E526:F526"/>
    <mergeCell ref="G526:H526"/>
    <mergeCell ref="I526:J526"/>
    <mergeCell ref="E527:F527"/>
    <mergeCell ref="G527:H527"/>
    <mergeCell ref="I527:J527"/>
    <mergeCell ref="A534:D534"/>
    <mergeCell ref="E534:F534"/>
    <mergeCell ref="G534:H534"/>
    <mergeCell ref="I534:J534"/>
    <mergeCell ref="E535:F535"/>
    <mergeCell ref="G535:H535"/>
    <mergeCell ref="I535:J535"/>
    <mergeCell ref="A535:D535"/>
    <mergeCell ref="A536:D536"/>
    <mergeCell ref="E536:F536"/>
    <mergeCell ref="G536:H536"/>
    <mergeCell ref="I536:J536"/>
    <mergeCell ref="A537:D537"/>
    <mergeCell ref="E537:F537"/>
    <mergeCell ref="G529:H529"/>
    <mergeCell ref="I529:J529"/>
    <mergeCell ref="A527:D527"/>
    <mergeCell ref="A528:D528"/>
    <mergeCell ref="E528:F528"/>
    <mergeCell ref="G528:H528"/>
    <mergeCell ref="I528:J528"/>
    <mergeCell ref="A529:D529"/>
    <mergeCell ref="E529:F529"/>
    <mergeCell ref="A530:D530"/>
    <mergeCell ref="E530:F530"/>
    <mergeCell ref="G530:H530"/>
    <mergeCell ref="I530:J530"/>
    <mergeCell ref="E531:F531"/>
    <mergeCell ref="G531:H531"/>
    <mergeCell ref="I531:J531"/>
    <mergeCell ref="G533:H533"/>
    <mergeCell ref="I533:J533"/>
    <mergeCell ref="A531:D531"/>
    <mergeCell ref="A532:D532"/>
    <mergeCell ref="E532:F532"/>
    <mergeCell ref="G532:H532"/>
    <mergeCell ref="I532:J532"/>
    <mergeCell ref="A533:D533"/>
    <mergeCell ref="E533:F533"/>
    <mergeCell ref="G537:H537"/>
    <mergeCell ref="I537:J537"/>
    <mergeCell ref="A538:J538"/>
    <mergeCell ref="A539:J539"/>
    <mergeCell ref="A540:J540"/>
    <mergeCell ref="A541:J541"/>
    <mergeCell ref="A542:J576"/>
    <mergeCell ref="A578:G578"/>
    <mergeCell ref="H578:J578"/>
    <mergeCell ref="A589:D589"/>
    <mergeCell ref="E589:F589"/>
    <mergeCell ref="G589:H589"/>
    <mergeCell ref="I589:J589"/>
    <mergeCell ref="E590:F590"/>
    <mergeCell ref="G590:H590"/>
    <mergeCell ref="I590:J590"/>
    <mergeCell ref="A590:D590"/>
    <mergeCell ref="A591:D591"/>
    <mergeCell ref="E591:F591"/>
    <mergeCell ref="G591:H591"/>
    <mergeCell ref="I591:J591"/>
    <mergeCell ref="A592:D592"/>
    <mergeCell ref="E592:F592"/>
    <mergeCell ref="A593:D593"/>
    <mergeCell ref="E593:F593"/>
    <mergeCell ref="G593:H593"/>
    <mergeCell ref="I593:J593"/>
    <mergeCell ref="E594:F594"/>
    <mergeCell ref="G594:H594"/>
    <mergeCell ref="I594:J594"/>
    <mergeCell ref="A594:D594"/>
    <mergeCell ref="A595:D595"/>
    <mergeCell ref="E595:F595"/>
    <mergeCell ref="G595:H595"/>
    <mergeCell ref="I595:J595"/>
    <mergeCell ref="A596:J596"/>
    <mergeCell ref="A597:J597"/>
    <mergeCell ref="A705:D705"/>
    <mergeCell ref="E705:F705"/>
    <mergeCell ref="G705:H705"/>
    <mergeCell ref="I705:J705"/>
    <mergeCell ref="E706:F706"/>
    <mergeCell ref="G706:H706"/>
    <mergeCell ref="I706:J706"/>
    <mergeCell ref="A706:D706"/>
    <mergeCell ref="A707:D707"/>
    <mergeCell ref="E707:F707"/>
    <mergeCell ref="G707:H707"/>
    <mergeCell ref="I707:J707"/>
    <mergeCell ref="A708:D708"/>
    <mergeCell ref="E708:F708"/>
    <mergeCell ref="A871:D871"/>
    <mergeCell ref="A872:D872"/>
    <mergeCell ref="A873:D873"/>
    <mergeCell ref="A830:J830"/>
    <mergeCell ref="A831:J831"/>
    <mergeCell ref="A832:J866"/>
    <mergeCell ref="A868:G868"/>
    <mergeCell ref="H868:J868"/>
    <mergeCell ref="A870:J870"/>
    <mergeCell ref="E871:J872"/>
    <mergeCell ref="G816:H816"/>
    <mergeCell ref="I816:J816"/>
    <mergeCell ref="A812:J812"/>
    <mergeCell ref="A813:D813"/>
    <mergeCell ref="E813:J814"/>
    <mergeCell ref="A814:D814"/>
    <mergeCell ref="A815:D815"/>
    <mergeCell ref="E815:J815"/>
    <mergeCell ref="E816:F816"/>
    <mergeCell ref="A817:D817"/>
    <mergeCell ref="E817:F817"/>
    <mergeCell ref="G817:H817"/>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G824:H824"/>
    <mergeCell ref="I824:J824"/>
    <mergeCell ref="E873:J873"/>
    <mergeCell ref="E874:F874"/>
    <mergeCell ref="G874:H874"/>
    <mergeCell ref="I874:J874"/>
    <mergeCell ref="E875:F875"/>
    <mergeCell ref="G875:H875"/>
    <mergeCell ref="I875:J87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85:D885"/>
    <mergeCell ref="E885:F885"/>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85:H885"/>
    <mergeCell ref="I885:J885"/>
    <mergeCell ref="A886:J886"/>
    <mergeCell ref="A887:J887"/>
    <mergeCell ref="A888:J888"/>
    <mergeCell ref="A889:J889"/>
    <mergeCell ref="A890:J924"/>
    <mergeCell ref="A926:G926"/>
    <mergeCell ref="H926:J926"/>
    <mergeCell ref="A937:D937"/>
    <mergeCell ref="E937:F937"/>
    <mergeCell ref="G937:H937"/>
    <mergeCell ref="I937:J937"/>
    <mergeCell ref="E938:F938"/>
    <mergeCell ref="G938:H938"/>
    <mergeCell ref="I938:J938"/>
    <mergeCell ref="A938:D938"/>
    <mergeCell ref="A939:D939"/>
    <mergeCell ref="E939:F939"/>
    <mergeCell ref="G939:H939"/>
    <mergeCell ref="I939:J939"/>
    <mergeCell ref="A940:D940"/>
    <mergeCell ref="E940:F940"/>
    <mergeCell ref="A941:D941"/>
    <mergeCell ref="E941:F941"/>
    <mergeCell ref="G941:H941"/>
    <mergeCell ref="I941:J941"/>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36:D936"/>
    <mergeCell ref="E936:F936"/>
    <mergeCell ref="G940:H940"/>
    <mergeCell ref="I940:J940"/>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H752:J752"/>
    <mergeCell ref="A754:J754"/>
    <mergeCell ref="E755:J756"/>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8:H708"/>
    <mergeCell ref="I708:J708"/>
    <mergeCell ref="E757:J757"/>
    <mergeCell ref="E758:F758"/>
    <mergeCell ref="G758:H758"/>
    <mergeCell ref="I758:J758"/>
    <mergeCell ref="E759:F759"/>
    <mergeCell ref="G759:H759"/>
    <mergeCell ref="I759:J759"/>
    <mergeCell ref="A766:D766"/>
    <mergeCell ref="E766:F766"/>
    <mergeCell ref="G766:H766"/>
    <mergeCell ref="I766:J766"/>
    <mergeCell ref="E767:F767"/>
    <mergeCell ref="G767:H767"/>
    <mergeCell ref="I767:J767"/>
    <mergeCell ref="A767:D767"/>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A763:D763"/>
    <mergeCell ref="A764:D764"/>
    <mergeCell ref="E764:F764"/>
    <mergeCell ref="G764:H764"/>
    <mergeCell ref="I764:J764"/>
    <mergeCell ref="A765:D765"/>
    <mergeCell ref="E765:F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4:D824"/>
    <mergeCell ref="E824:F824"/>
    <mergeCell ref="A825:D825"/>
    <mergeCell ref="E825:F825"/>
    <mergeCell ref="G825:H825"/>
    <mergeCell ref="I825:J825"/>
    <mergeCell ref="E826:F826"/>
    <mergeCell ref="G826:H826"/>
    <mergeCell ref="I826:J826"/>
    <mergeCell ref="A826:D826"/>
    <mergeCell ref="A827:D827"/>
    <mergeCell ref="E827:F827"/>
    <mergeCell ref="G827:H827"/>
    <mergeCell ref="I827:J827"/>
    <mergeCell ref="A828:J828"/>
    <mergeCell ref="A829:J829"/>
  </mergeCells>
  <dataValidations>
    <dataValidation type="list" allowBlank="1" showInputMessage="1" showErrorMessage="1" prompt="Please select from drop down list." sqref="E13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formula1>0.0</formula1>
      <formula2>5.0E7</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formula1>AND(GTE(LEN(A139),MIN((1),(35))),LTE(LEN(A139),MAX((1),(35))))</formula1>
    </dataValidation>
    <dataValidation type="list" allowBlank="1" showInputMessage="1" showErrorMessage="1" prompt="Please select from the drop down list." sqref="E182 E235 E293 E351 E409 E467 E525 E583 E641 E699 E757 E815 E873 E931">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formula1>0.0</formula1>
      <formula2>5.0E7</formula2>
    </dataValidation>
  </dataValidations>
  <printOptions horizontalCentered="1"/>
  <pageMargins bottom="0.5" footer="0.0" header="0.0" left="0.5" right="0.5" top="0.75"/>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6" width="8.88"/>
  </cols>
  <sheetData>
    <row r="1" ht="12.75" customHeight="1">
      <c r="A1" s="127" t="s">
        <v>80</v>
      </c>
      <c r="B1" s="43"/>
      <c r="C1" s="43"/>
      <c r="D1" s="43"/>
      <c r="E1" s="43"/>
      <c r="F1" s="43"/>
      <c r="G1" s="75"/>
      <c r="H1" s="128" t="str">
        <f>'CONTACT INFORMATION'!$A$24</f>
        <v>Amador</v>
      </c>
      <c r="I1" s="43"/>
      <c r="J1" s="44"/>
    </row>
    <row r="2" ht="12.75" customHeight="1">
      <c r="A2" s="228"/>
      <c r="B2" s="228"/>
      <c r="C2" s="228"/>
      <c r="D2" s="228"/>
      <c r="E2" s="228"/>
      <c r="F2" s="228"/>
      <c r="G2" s="228"/>
      <c r="H2" s="228"/>
      <c r="I2" s="228"/>
      <c r="J2" s="228"/>
    </row>
    <row r="3" ht="12.75" customHeight="1">
      <c r="A3" s="203" t="s">
        <v>209</v>
      </c>
      <c r="B3" s="43"/>
      <c r="C3" s="43"/>
      <c r="D3" s="43"/>
      <c r="E3" s="43"/>
      <c r="F3" s="43"/>
      <c r="G3" s="43"/>
      <c r="H3" s="43"/>
      <c r="I3" s="43"/>
      <c r="J3" s="44"/>
    </row>
    <row r="4" ht="12.75" customHeight="1">
      <c r="A4" s="204" t="s">
        <v>155</v>
      </c>
      <c r="B4" s="49"/>
      <c r="C4" s="49"/>
      <c r="D4" s="50"/>
      <c r="E4" s="231"/>
      <c r="F4" s="8"/>
      <c r="G4" s="8"/>
      <c r="H4" s="8"/>
      <c r="I4" s="8"/>
      <c r="J4" s="9"/>
    </row>
    <row r="5" ht="12.75" customHeight="1">
      <c r="A5" s="206" t="s">
        <v>184</v>
      </c>
      <c r="B5" s="207"/>
      <c r="C5" s="207"/>
      <c r="D5" s="208"/>
      <c r="E5" s="21"/>
      <c r="F5" s="53"/>
      <c r="G5" s="53"/>
      <c r="H5" s="53"/>
      <c r="I5" s="53"/>
      <c r="J5" s="54"/>
    </row>
    <row r="6" ht="12.75" customHeight="1">
      <c r="A6" s="209" t="s">
        <v>210</v>
      </c>
      <c r="B6" s="43"/>
      <c r="C6" s="43"/>
      <c r="D6" s="44"/>
      <c r="E6" s="147"/>
      <c r="F6" s="43"/>
      <c r="G6" s="43"/>
      <c r="H6" s="43"/>
      <c r="I6" s="43"/>
      <c r="J6" s="44"/>
    </row>
    <row r="7" ht="12.75" customHeight="1">
      <c r="A7" s="229"/>
      <c r="B7" s="210"/>
      <c r="C7" s="210"/>
      <c r="D7" s="210"/>
      <c r="E7" s="210" t="s">
        <v>159</v>
      </c>
      <c r="F7" s="53"/>
      <c r="G7" s="210" t="s">
        <v>160</v>
      </c>
      <c r="H7" s="53"/>
      <c r="I7" s="211" t="s">
        <v>161</v>
      </c>
      <c r="J7" s="54"/>
    </row>
    <row r="8" ht="12.75" customHeight="1">
      <c r="A8" s="149" t="s">
        <v>162</v>
      </c>
      <c r="B8" s="43"/>
      <c r="C8" s="43"/>
      <c r="D8" s="44"/>
      <c r="E8" s="212"/>
      <c r="F8" s="44"/>
      <c r="G8" s="212"/>
      <c r="H8" s="44"/>
      <c r="I8" s="213"/>
      <c r="J8" s="44"/>
    </row>
    <row r="9" ht="12.75" customHeight="1">
      <c r="A9" s="214" t="s">
        <v>163</v>
      </c>
      <c r="B9" s="43"/>
      <c r="C9" s="43"/>
      <c r="D9" s="44"/>
      <c r="E9" s="215"/>
      <c r="F9" s="44"/>
      <c r="G9" s="216"/>
      <c r="H9" s="44"/>
      <c r="I9" s="217"/>
      <c r="J9" s="44"/>
    </row>
    <row r="10" ht="12.75" customHeight="1">
      <c r="A10" s="149" t="s">
        <v>164</v>
      </c>
      <c r="B10" s="43"/>
      <c r="C10" s="43"/>
      <c r="D10" s="44"/>
      <c r="E10" s="212"/>
      <c r="F10" s="44"/>
      <c r="G10" s="212"/>
      <c r="H10" s="44"/>
      <c r="I10" s="213"/>
      <c r="J10" s="44"/>
    </row>
    <row r="11" ht="12.75" customHeight="1">
      <c r="A11" s="214" t="s">
        <v>165</v>
      </c>
      <c r="B11" s="43"/>
      <c r="C11" s="43"/>
      <c r="D11" s="44"/>
      <c r="E11" s="215"/>
      <c r="F11" s="44"/>
      <c r="G11" s="216"/>
      <c r="H11" s="44"/>
      <c r="I11" s="217"/>
      <c r="J11" s="44"/>
    </row>
    <row r="12" ht="12.75" customHeight="1">
      <c r="A12" s="149" t="s">
        <v>166</v>
      </c>
      <c r="B12" s="43"/>
      <c r="C12" s="43"/>
      <c r="D12" s="44"/>
      <c r="E12" s="212"/>
      <c r="F12" s="44"/>
      <c r="G12" s="212"/>
      <c r="H12" s="44"/>
      <c r="I12" s="213"/>
      <c r="J12" s="44"/>
    </row>
    <row r="13" ht="12.75" customHeight="1">
      <c r="A13" s="214" t="s">
        <v>167</v>
      </c>
      <c r="B13" s="43"/>
      <c r="C13" s="43"/>
      <c r="D13" s="44"/>
      <c r="E13" s="215"/>
      <c r="F13" s="44"/>
      <c r="G13" s="216"/>
      <c r="H13" s="44"/>
      <c r="I13" s="217"/>
      <c r="J13" s="44"/>
    </row>
    <row r="14" ht="12.75" customHeight="1">
      <c r="A14" s="149" t="s">
        <v>168</v>
      </c>
      <c r="B14" s="43"/>
      <c r="C14" s="43"/>
      <c r="D14" s="44"/>
      <c r="E14" s="218"/>
      <c r="F14" s="44"/>
      <c r="G14" s="218"/>
      <c r="H14" s="44"/>
      <c r="I14" s="219"/>
      <c r="J14" s="44"/>
    </row>
    <row r="15" ht="12.75" customHeight="1">
      <c r="A15" s="220"/>
      <c r="B15" s="43"/>
      <c r="C15" s="43"/>
      <c r="D15" s="44"/>
      <c r="E15" s="215"/>
      <c r="F15" s="44"/>
      <c r="G15" s="216"/>
      <c r="H15" s="44"/>
      <c r="I15" s="216"/>
      <c r="J15" s="44"/>
    </row>
    <row r="16" ht="12.75" customHeight="1">
      <c r="A16" s="220"/>
      <c r="B16" s="43"/>
      <c r="C16" s="43"/>
      <c r="D16" s="44"/>
      <c r="E16" s="215"/>
      <c r="F16" s="44"/>
      <c r="G16" s="216"/>
      <c r="H16" s="44"/>
      <c r="I16" s="216"/>
      <c r="J16" s="44"/>
    </row>
    <row r="17" ht="12.75" customHeight="1">
      <c r="A17" s="220"/>
      <c r="B17" s="43"/>
      <c r="C17" s="43"/>
      <c r="D17" s="44"/>
      <c r="E17" s="215"/>
      <c r="F17" s="44"/>
      <c r="G17" s="216"/>
      <c r="H17" s="44"/>
      <c r="I17" s="216"/>
      <c r="J17" s="44"/>
    </row>
    <row r="18" ht="12.75" customHeight="1">
      <c r="A18" s="151" t="s">
        <v>169</v>
      </c>
      <c r="B18" s="43"/>
      <c r="C18" s="43"/>
      <c r="D18" s="44"/>
      <c r="E18" s="221">
        <f>SUM(E8:E17)</f>
        <v>0</v>
      </c>
      <c r="F18" s="44"/>
      <c r="G18" s="221">
        <f>SUM(G8:G17)</f>
        <v>0</v>
      </c>
      <c r="H18" s="44"/>
      <c r="I18" s="221">
        <f>SUM(I8:I17)</f>
        <v>0</v>
      </c>
      <c r="J18" s="44"/>
    </row>
    <row r="19" ht="12.75" customHeight="1">
      <c r="A19" s="222" t="s">
        <v>170</v>
      </c>
      <c r="B19" s="49"/>
      <c r="C19" s="49"/>
      <c r="D19" s="49"/>
      <c r="E19" s="49"/>
      <c r="F19" s="49"/>
      <c r="G19" s="49"/>
      <c r="H19" s="49"/>
      <c r="I19" s="49"/>
      <c r="J19" s="50"/>
    </row>
    <row r="20" ht="12.75" customHeight="1">
      <c r="A20" s="223" t="s">
        <v>171</v>
      </c>
      <c r="B20" s="56"/>
      <c r="C20" s="56"/>
      <c r="D20" s="56"/>
      <c r="E20" s="56"/>
      <c r="F20" s="56"/>
      <c r="G20" s="56"/>
      <c r="H20" s="56"/>
      <c r="I20" s="56"/>
      <c r="J20" s="57"/>
    </row>
    <row r="21" ht="12.75" customHeight="1">
      <c r="A21" s="223" t="s">
        <v>172</v>
      </c>
      <c r="B21" s="56"/>
      <c r="C21" s="56"/>
      <c r="D21" s="56"/>
      <c r="E21" s="56"/>
      <c r="F21" s="56"/>
      <c r="G21" s="56"/>
      <c r="H21" s="56"/>
      <c r="I21" s="56"/>
      <c r="J21" s="57"/>
    </row>
    <row r="22" ht="12.75" customHeight="1">
      <c r="A22" s="224" t="s">
        <v>173</v>
      </c>
      <c r="B22" s="207"/>
      <c r="C22" s="207"/>
      <c r="D22" s="207"/>
      <c r="E22" s="207"/>
      <c r="F22" s="207"/>
      <c r="G22" s="207"/>
      <c r="H22" s="207"/>
      <c r="I22" s="207"/>
      <c r="J22" s="208"/>
    </row>
    <row r="23" ht="12.75" customHeight="1">
      <c r="A23" s="118"/>
      <c r="B23" s="8"/>
      <c r="C23" s="8"/>
      <c r="D23" s="8"/>
      <c r="E23" s="8"/>
      <c r="F23" s="8"/>
      <c r="G23" s="8"/>
      <c r="H23" s="8"/>
      <c r="I23" s="8"/>
      <c r="J23" s="9"/>
    </row>
    <row r="24" ht="12.75" customHeight="1">
      <c r="A24" s="10"/>
      <c r="J24" s="31"/>
    </row>
    <row r="25" ht="12.75" customHeight="1">
      <c r="A25" s="10"/>
      <c r="J25" s="31"/>
    </row>
    <row r="26" ht="12.75" customHeight="1">
      <c r="A26" s="10"/>
      <c r="J26" s="31"/>
    </row>
    <row r="27" ht="12.75" customHeight="1">
      <c r="A27" s="10"/>
      <c r="J27" s="31"/>
    </row>
    <row r="28" ht="12.75" customHeight="1">
      <c r="A28" s="10"/>
      <c r="J28" s="31"/>
    </row>
    <row r="29" ht="12.75" customHeight="1">
      <c r="A29" s="10"/>
      <c r="J29" s="31"/>
    </row>
    <row r="30" ht="12.75" customHeight="1">
      <c r="A30" s="10"/>
      <c r="J30" s="31"/>
    </row>
    <row r="31" ht="12.75" customHeight="1">
      <c r="A31" s="10"/>
      <c r="J31" s="31"/>
    </row>
    <row r="32" ht="12.75" customHeight="1">
      <c r="A32" s="10"/>
      <c r="J32" s="31"/>
    </row>
    <row r="33" ht="12.75" customHeight="1">
      <c r="A33" s="10"/>
      <c r="J33" s="31"/>
    </row>
    <row r="34" ht="12.75" customHeight="1">
      <c r="A34" s="10"/>
      <c r="J34" s="31"/>
    </row>
    <row r="35" ht="12.75" customHeight="1">
      <c r="A35" s="10"/>
      <c r="J35" s="31"/>
    </row>
    <row r="36" ht="12.75" customHeight="1">
      <c r="A36" s="10"/>
      <c r="J36" s="31"/>
    </row>
    <row r="37" ht="12.75" customHeight="1">
      <c r="A37" s="10"/>
      <c r="J37" s="31"/>
    </row>
    <row r="38" ht="12.75" customHeight="1">
      <c r="A38" s="10"/>
      <c r="J38" s="31"/>
    </row>
    <row r="39" ht="12.75" customHeight="1">
      <c r="A39" s="10"/>
      <c r="J39" s="31"/>
    </row>
    <row r="40" ht="12.75" customHeight="1">
      <c r="A40" s="10"/>
      <c r="J40" s="31"/>
    </row>
    <row r="41" ht="12.75" customHeight="1">
      <c r="A41" s="10"/>
      <c r="J41" s="31"/>
    </row>
    <row r="42" ht="12.75" customHeight="1">
      <c r="A42" s="10"/>
      <c r="J42" s="31"/>
    </row>
    <row r="43" ht="12.75" customHeight="1">
      <c r="A43" s="10"/>
      <c r="J43" s="31"/>
    </row>
    <row r="44" ht="12.75" customHeight="1">
      <c r="A44" s="10"/>
      <c r="J44" s="31"/>
    </row>
    <row r="45" ht="12.75" customHeight="1">
      <c r="A45" s="10"/>
      <c r="J45" s="31"/>
    </row>
    <row r="46" ht="12.75" customHeight="1">
      <c r="A46" s="10"/>
      <c r="J46" s="31"/>
    </row>
    <row r="47" ht="12.75" customHeight="1">
      <c r="A47" s="10"/>
      <c r="J47" s="31"/>
    </row>
    <row r="48" ht="12.75" customHeight="1">
      <c r="A48" s="10"/>
      <c r="J48" s="31"/>
    </row>
    <row r="49" ht="12.75" customHeight="1">
      <c r="A49" s="10"/>
      <c r="J49" s="31"/>
    </row>
    <row r="50" ht="12.75" customHeight="1">
      <c r="A50" s="10"/>
      <c r="J50" s="31"/>
    </row>
    <row r="51" ht="12.75" customHeight="1">
      <c r="A51" s="10"/>
      <c r="J51" s="31"/>
    </row>
    <row r="52" ht="12.75" customHeight="1">
      <c r="A52" s="10"/>
      <c r="J52" s="31"/>
    </row>
    <row r="53" ht="12.75" customHeight="1">
      <c r="A53" s="10"/>
      <c r="J53" s="31"/>
    </row>
    <row r="54" ht="12.75" customHeight="1">
      <c r="A54" s="21"/>
      <c r="B54" s="53"/>
      <c r="C54" s="53"/>
      <c r="D54" s="53"/>
      <c r="E54" s="53"/>
      <c r="F54" s="53"/>
      <c r="G54" s="53"/>
      <c r="H54" s="53"/>
      <c r="I54" s="53"/>
      <c r="J54" s="54"/>
    </row>
    <row r="55" ht="12.75" customHeight="1">
      <c r="A55" s="234"/>
      <c r="B55" s="234"/>
      <c r="C55" s="234"/>
      <c r="D55" s="234"/>
      <c r="E55" s="234"/>
      <c r="F55" s="234"/>
      <c r="G55" s="234"/>
      <c r="H55" s="234"/>
      <c r="I55" s="234"/>
      <c r="J55" s="234"/>
    </row>
    <row r="56" ht="12.75" customHeight="1">
      <c r="A56" s="127" t="s">
        <v>80</v>
      </c>
      <c r="B56" s="43"/>
      <c r="C56" s="43"/>
      <c r="D56" s="43"/>
      <c r="E56" s="43"/>
      <c r="F56" s="43"/>
      <c r="G56" s="75"/>
      <c r="H56" s="128" t="str">
        <f>'CONTACT INFORMATION'!$A$24</f>
        <v>Amador</v>
      </c>
      <c r="I56" s="43"/>
      <c r="J56" s="44"/>
    </row>
    <row r="57" ht="12.75" customHeight="1">
      <c r="A57" s="228"/>
      <c r="B57" s="228"/>
      <c r="C57" s="228"/>
      <c r="D57" s="228"/>
      <c r="E57" s="228"/>
      <c r="F57" s="228"/>
      <c r="G57" s="228"/>
      <c r="H57" s="228"/>
      <c r="I57" s="228"/>
      <c r="J57" s="228"/>
    </row>
    <row r="58" ht="12.75" customHeight="1">
      <c r="A58" s="203" t="s">
        <v>211</v>
      </c>
      <c r="B58" s="43"/>
      <c r="C58" s="43"/>
      <c r="D58" s="43"/>
      <c r="E58" s="43"/>
      <c r="F58" s="43"/>
      <c r="G58" s="43"/>
      <c r="H58" s="43"/>
      <c r="I58" s="43"/>
      <c r="J58" s="44"/>
    </row>
    <row r="59" ht="12.75" customHeight="1">
      <c r="A59" s="204" t="s">
        <v>155</v>
      </c>
      <c r="B59" s="49"/>
      <c r="C59" s="49"/>
      <c r="D59" s="50"/>
      <c r="E59" s="231"/>
      <c r="F59" s="8"/>
      <c r="G59" s="8"/>
      <c r="H59" s="8"/>
      <c r="I59" s="8"/>
      <c r="J59" s="9"/>
    </row>
    <row r="60" ht="12.75" customHeight="1">
      <c r="A60" s="206" t="s">
        <v>184</v>
      </c>
      <c r="B60" s="207"/>
      <c r="C60" s="207"/>
      <c r="D60" s="208"/>
      <c r="E60" s="21"/>
      <c r="F60" s="53"/>
      <c r="G60" s="53"/>
      <c r="H60" s="53"/>
      <c r="I60" s="53"/>
      <c r="J60" s="54"/>
    </row>
    <row r="61" ht="12.75" customHeight="1">
      <c r="A61" s="209" t="s">
        <v>212</v>
      </c>
      <c r="B61" s="43"/>
      <c r="C61" s="43"/>
      <c r="D61" s="44"/>
      <c r="E61" s="147"/>
      <c r="F61" s="43"/>
      <c r="G61" s="43"/>
      <c r="H61" s="43"/>
      <c r="I61" s="43"/>
      <c r="J61" s="44"/>
    </row>
    <row r="62" ht="12.75" customHeight="1">
      <c r="A62" s="229"/>
      <c r="B62" s="210"/>
      <c r="C62" s="210"/>
      <c r="D62" s="210"/>
      <c r="E62" s="210" t="s">
        <v>159</v>
      </c>
      <c r="F62" s="53"/>
      <c r="G62" s="210" t="s">
        <v>160</v>
      </c>
      <c r="H62" s="53"/>
      <c r="I62" s="211" t="s">
        <v>161</v>
      </c>
      <c r="J62" s="54"/>
    </row>
    <row r="63" ht="12.75" customHeight="1">
      <c r="A63" s="149" t="s">
        <v>162</v>
      </c>
      <c r="B63" s="43"/>
      <c r="C63" s="43"/>
      <c r="D63" s="44"/>
      <c r="E63" s="212"/>
      <c r="F63" s="44"/>
      <c r="G63" s="212"/>
      <c r="H63" s="44"/>
      <c r="I63" s="213"/>
      <c r="J63" s="44"/>
    </row>
    <row r="64" ht="12.75" customHeight="1">
      <c r="A64" s="214" t="s">
        <v>163</v>
      </c>
      <c r="B64" s="43"/>
      <c r="C64" s="43"/>
      <c r="D64" s="44"/>
      <c r="E64" s="215"/>
      <c r="F64" s="44"/>
      <c r="G64" s="216"/>
      <c r="H64" s="44"/>
      <c r="I64" s="217"/>
      <c r="J64" s="44"/>
    </row>
    <row r="65" ht="12.75" customHeight="1">
      <c r="A65" s="149" t="s">
        <v>164</v>
      </c>
      <c r="B65" s="43"/>
      <c r="C65" s="43"/>
      <c r="D65" s="44"/>
      <c r="E65" s="212"/>
      <c r="F65" s="44"/>
      <c r="G65" s="212"/>
      <c r="H65" s="44"/>
      <c r="I65" s="213"/>
      <c r="J65" s="44"/>
    </row>
    <row r="66" ht="12.75" customHeight="1">
      <c r="A66" s="214" t="s">
        <v>165</v>
      </c>
      <c r="B66" s="43"/>
      <c r="C66" s="43"/>
      <c r="D66" s="44"/>
      <c r="E66" s="215"/>
      <c r="F66" s="44"/>
      <c r="G66" s="216"/>
      <c r="H66" s="44"/>
      <c r="I66" s="217"/>
      <c r="J66" s="44"/>
    </row>
    <row r="67" ht="12.75" customHeight="1">
      <c r="A67" s="149" t="s">
        <v>166</v>
      </c>
      <c r="B67" s="43"/>
      <c r="C67" s="43"/>
      <c r="D67" s="44"/>
      <c r="E67" s="212"/>
      <c r="F67" s="44"/>
      <c r="G67" s="212"/>
      <c r="H67" s="44"/>
      <c r="I67" s="213"/>
      <c r="J67" s="44"/>
    </row>
    <row r="68" ht="12.75" customHeight="1">
      <c r="A68" s="214" t="s">
        <v>167</v>
      </c>
      <c r="B68" s="43"/>
      <c r="C68" s="43"/>
      <c r="D68" s="44"/>
      <c r="E68" s="215"/>
      <c r="F68" s="44"/>
      <c r="G68" s="216"/>
      <c r="H68" s="44"/>
      <c r="I68" s="217"/>
      <c r="J68" s="44"/>
    </row>
    <row r="69" ht="12.75" customHeight="1">
      <c r="A69" s="149" t="s">
        <v>168</v>
      </c>
      <c r="B69" s="43"/>
      <c r="C69" s="43"/>
      <c r="D69" s="44"/>
      <c r="E69" s="218"/>
      <c r="F69" s="44"/>
      <c r="G69" s="218"/>
      <c r="H69" s="44"/>
      <c r="I69" s="219"/>
      <c r="J69" s="44"/>
    </row>
    <row r="70" ht="12.75" customHeight="1">
      <c r="A70" s="220"/>
      <c r="B70" s="43"/>
      <c r="C70" s="43"/>
      <c r="D70" s="44"/>
      <c r="E70" s="215"/>
      <c r="F70" s="44"/>
      <c r="G70" s="216"/>
      <c r="H70" s="44"/>
      <c r="I70" s="216"/>
      <c r="J70" s="44"/>
    </row>
    <row r="71" ht="12.75" customHeight="1">
      <c r="A71" s="220"/>
      <c r="B71" s="43"/>
      <c r="C71" s="43"/>
      <c r="D71" s="44"/>
      <c r="E71" s="215"/>
      <c r="F71" s="44"/>
      <c r="G71" s="216"/>
      <c r="H71" s="44"/>
      <c r="I71" s="216"/>
      <c r="J71" s="44"/>
    </row>
    <row r="72" ht="12.75" customHeight="1">
      <c r="A72" s="220"/>
      <c r="B72" s="43"/>
      <c r="C72" s="43"/>
      <c r="D72" s="44"/>
      <c r="E72" s="215"/>
      <c r="F72" s="44"/>
      <c r="G72" s="216"/>
      <c r="H72" s="44"/>
      <c r="I72" s="216"/>
      <c r="J72" s="44"/>
    </row>
    <row r="73" ht="12.75" customHeight="1">
      <c r="A73" s="151" t="s">
        <v>169</v>
      </c>
      <c r="B73" s="43"/>
      <c r="C73" s="43"/>
      <c r="D73" s="44"/>
      <c r="E73" s="221">
        <f>SUM(E63:E72)</f>
        <v>0</v>
      </c>
      <c r="F73" s="44"/>
      <c r="G73" s="221">
        <f>SUM(G63:G72)</f>
        <v>0</v>
      </c>
      <c r="H73" s="44"/>
      <c r="I73" s="221">
        <f>SUM(I63:I72)</f>
        <v>0</v>
      </c>
      <c r="J73" s="44"/>
    </row>
    <row r="74" ht="12.75" customHeight="1">
      <c r="A74" s="222" t="s">
        <v>170</v>
      </c>
      <c r="B74" s="49"/>
      <c r="C74" s="49"/>
      <c r="D74" s="49"/>
      <c r="E74" s="49"/>
      <c r="F74" s="49"/>
      <c r="G74" s="49"/>
      <c r="H74" s="49"/>
      <c r="I74" s="49"/>
      <c r="J74" s="50"/>
    </row>
    <row r="75" ht="12.75" customHeight="1">
      <c r="A75" s="223" t="s">
        <v>171</v>
      </c>
      <c r="B75" s="56"/>
      <c r="C75" s="56"/>
      <c r="D75" s="56"/>
      <c r="E75" s="56"/>
      <c r="F75" s="56"/>
      <c r="G75" s="56"/>
      <c r="H75" s="56"/>
      <c r="I75" s="56"/>
      <c r="J75" s="57"/>
    </row>
    <row r="76" ht="12.75" customHeight="1">
      <c r="A76" s="223" t="s">
        <v>172</v>
      </c>
      <c r="B76" s="56"/>
      <c r="C76" s="56"/>
      <c r="D76" s="56"/>
      <c r="E76" s="56"/>
      <c r="F76" s="56"/>
      <c r="G76" s="56"/>
      <c r="H76" s="56"/>
      <c r="I76" s="56"/>
      <c r="J76" s="57"/>
    </row>
    <row r="77" ht="12.75" customHeight="1">
      <c r="A77" s="224" t="s">
        <v>173</v>
      </c>
      <c r="B77" s="207"/>
      <c r="C77" s="207"/>
      <c r="D77" s="207"/>
      <c r="E77" s="207"/>
      <c r="F77" s="207"/>
      <c r="G77" s="207"/>
      <c r="H77" s="207"/>
      <c r="I77" s="207"/>
      <c r="J77" s="208"/>
    </row>
    <row r="78" ht="12.75" customHeight="1">
      <c r="A78" s="118"/>
      <c r="B78" s="8"/>
      <c r="C78" s="8"/>
      <c r="D78" s="8"/>
      <c r="E78" s="8"/>
      <c r="F78" s="8"/>
      <c r="G78" s="8"/>
      <c r="H78" s="8"/>
      <c r="I78" s="8"/>
      <c r="J78" s="9"/>
    </row>
    <row r="79" ht="12.75" customHeight="1">
      <c r="A79" s="10"/>
      <c r="J79" s="31"/>
    </row>
    <row r="80" ht="12.75" customHeight="1">
      <c r="A80" s="10"/>
      <c r="J80" s="31"/>
    </row>
    <row r="81" ht="12.75" customHeight="1">
      <c r="A81" s="10"/>
      <c r="J81" s="31"/>
    </row>
    <row r="82" ht="12.75" customHeight="1">
      <c r="A82" s="10"/>
      <c r="J82" s="31"/>
    </row>
    <row r="83" ht="12.75" customHeight="1">
      <c r="A83" s="10"/>
      <c r="J83" s="31"/>
    </row>
    <row r="84" ht="12.75" customHeight="1">
      <c r="A84" s="10"/>
      <c r="J84" s="31"/>
    </row>
    <row r="85" ht="12.75" customHeight="1">
      <c r="A85" s="10"/>
      <c r="J85" s="31"/>
    </row>
    <row r="86" ht="12.75" customHeight="1">
      <c r="A86" s="10"/>
      <c r="J86" s="31"/>
    </row>
    <row r="87" ht="12.75" customHeight="1">
      <c r="A87" s="10"/>
      <c r="J87" s="31"/>
    </row>
    <row r="88" ht="12.75" customHeight="1">
      <c r="A88" s="10"/>
      <c r="J88" s="31"/>
    </row>
    <row r="89" ht="12.75" customHeight="1">
      <c r="A89" s="10"/>
      <c r="J89" s="31"/>
    </row>
    <row r="90" ht="12.75" customHeight="1">
      <c r="A90" s="10"/>
      <c r="J90" s="31"/>
    </row>
    <row r="91" ht="12.75" customHeight="1">
      <c r="A91" s="10"/>
      <c r="J91" s="31"/>
    </row>
    <row r="92" ht="12.75" customHeight="1">
      <c r="A92" s="10"/>
      <c r="J92" s="31"/>
    </row>
    <row r="93" ht="12.75" customHeight="1">
      <c r="A93" s="10"/>
      <c r="J93" s="31"/>
    </row>
    <row r="94" ht="12.75" customHeight="1">
      <c r="A94" s="10"/>
      <c r="J94" s="31"/>
    </row>
    <row r="95" ht="12.75" customHeight="1">
      <c r="A95" s="10"/>
      <c r="J95" s="31"/>
    </row>
    <row r="96" ht="12.75" customHeight="1">
      <c r="A96" s="10"/>
      <c r="J96" s="31"/>
    </row>
    <row r="97" ht="12.75" customHeight="1">
      <c r="A97" s="10"/>
      <c r="J97" s="31"/>
    </row>
    <row r="98" ht="12.75" customHeight="1">
      <c r="A98" s="10"/>
      <c r="J98" s="31"/>
    </row>
    <row r="99" ht="12.75" customHeight="1">
      <c r="A99" s="10"/>
      <c r="J99" s="31"/>
    </row>
    <row r="100" ht="12.75" customHeight="1">
      <c r="A100" s="10"/>
      <c r="J100" s="31"/>
    </row>
    <row r="101" ht="12.75" customHeight="1">
      <c r="A101" s="10"/>
      <c r="J101" s="31"/>
    </row>
    <row r="102" ht="12.75" customHeight="1">
      <c r="A102" s="10"/>
      <c r="J102" s="31"/>
    </row>
    <row r="103" ht="12.75" customHeight="1">
      <c r="A103" s="10"/>
      <c r="J103" s="31"/>
    </row>
    <row r="104" ht="12.75" customHeight="1">
      <c r="A104" s="10"/>
      <c r="J104" s="31"/>
    </row>
    <row r="105" ht="12.75" customHeight="1">
      <c r="A105" s="10"/>
      <c r="J105" s="31"/>
    </row>
    <row r="106" ht="12.75" customHeight="1">
      <c r="A106" s="10"/>
      <c r="J106" s="31"/>
    </row>
    <row r="107" ht="12.75" customHeight="1">
      <c r="A107" s="10"/>
      <c r="J107" s="31"/>
    </row>
    <row r="108" ht="12.75" customHeight="1">
      <c r="A108" s="10"/>
      <c r="J108" s="31"/>
    </row>
    <row r="109" ht="12.75" customHeight="1">
      <c r="A109" s="10"/>
      <c r="J109" s="31"/>
    </row>
    <row r="110" ht="12.75" customHeight="1">
      <c r="A110" s="21"/>
      <c r="B110" s="53"/>
      <c r="C110" s="53"/>
      <c r="D110" s="53"/>
      <c r="E110" s="53"/>
      <c r="F110" s="53"/>
      <c r="G110" s="53"/>
      <c r="H110" s="53"/>
      <c r="I110" s="53"/>
      <c r="J110" s="54"/>
    </row>
    <row r="111" ht="12.75" customHeight="1"/>
    <row r="112" ht="12.75" customHeight="1">
      <c r="A112" s="127" t="s">
        <v>80</v>
      </c>
      <c r="B112" s="43"/>
      <c r="C112" s="43"/>
      <c r="D112" s="43"/>
      <c r="E112" s="43"/>
      <c r="F112" s="43"/>
      <c r="G112" s="75"/>
      <c r="H112" s="128" t="str">
        <f>'CONTACT INFORMATION'!$A$24</f>
        <v>Amador</v>
      </c>
      <c r="I112" s="43"/>
      <c r="J112" s="44"/>
    </row>
    <row r="113" ht="12.75" customHeight="1">
      <c r="A113" s="228"/>
      <c r="B113" s="228"/>
      <c r="C113" s="228"/>
      <c r="D113" s="228"/>
      <c r="E113" s="228"/>
      <c r="F113" s="228"/>
      <c r="G113" s="228"/>
      <c r="H113" s="228"/>
      <c r="I113" s="228"/>
      <c r="J113" s="228"/>
    </row>
    <row r="114" ht="12.75" customHeight="1">
      <c r="A114" s="203" t="s">
        <v>213</v>
      </c>
      <c r="B114" s="43"/>
      <c r="C114" s="43"/>
      <c r="D114" s="43"/>
      <c r="E114" s="43"/>
      <c r="F114" s="43"/>
      <c r="G114" s="43"/>
      <c r="H114" s="43"/>
      <c r="I114" s="43"/>
      <c r="J114" s="44"/>
    </row>
    <row r="115" ht="12.75" customHeight="1">
      <c r="A115" s="204" t="s">
        <v>155</v>
      </c>
      <c r="B115" s="49"/>
      <c r="C115" s="49"/>
      <c r="D115" s="50"/>
      <c r="E115" s="231"/>
      <c r="F115" s="8"/>
      <c r="G115" s="8"/>
      <c r="H115" s="8"/>
      <c r="I115" s="8"/>
      <c r="J115" s="9"/>
    </row>
    <row r="116" ht="12.75" customHeight="1">
      <c r="A116" s="206" t="s">
        <v>184</v>
      </c>
      <c r="B116" s="207"/>
      <c r="C116" s="207"/>
      <c r="D116" s="208"/>
      <c r="E116" s="21"/>
      <c r="F116" s="53"/>
      <c r="G116" s="53"/>
      <c r="H116" s="53"/>
      <c r="I116" s="53"/>
      <c r="J116" s="54"/>
    </row>
    <row r="117" ht="12.75" customHeight="1">
      <c r="A117" s="209" t="s">
        <v>214</v>
      </c>
      <c r="B117" s="43"/>
      <c r="C117" s="43"/>
      <c r="D117" s="44"/>
      <c r="E117" s="147"/>
      <c r="F117" s="43"/>
      <c r="G117" s="43"/>
      <c r="H117" s="43"/>
      <c r="I117" s="43"/>
      <c r="J117" s="44"/>
    </row>
    <row r="118" ht="12.75" customHeight="1">
      <c r="A118" s="229"/>
      <c r="B118" s="210"/>
      <c r="C118" s="210"/>
      <c r="D118" s="210"/>
      <c r="E118" s="210" t="s">
        <v>159</v>
      </c>
      <c r="F118" s="53"/>
      <c r="G118" s="210" t="s">
        <v>160</v>
      </c>
      <c r="H118" s="53"/>
      <c r="I118" s="211" t="s">
        <v>161</v>
      </c>
      <c r="J118" s="54"/>
    </row>
    <row r="119" ht="12.75" customHeight="1">
      <c r="A119" s="149" t="s">
        <v>162</v>
      </c>
      <c r="B119" s="43"/>
      <c r="C119" s="43"/>
      <c r="D119" s="44"/>
      <c r="E119" s="212"/>
      <c r="F119" s="44"/>
      <c r="G119" s="212"/>
      <c r="H119" s="44"/>
      <c r="I119" s="213"/>
      <c r="J119" s="44"/>
    </row>
    <row r="120" ht="12.75" customHeight="1">
      <c r="A120" s="214" t="s">
        <v>163</v>
      </c>
      <c r="B120" s="43"/>
      <c r="C120" s="43"/>
      <c r="D120" s="44"/>
      <c r="E120" s="215"/>
      <c r="F120" s="44"/>
      <c r="G120" s="216"/>
      <c r="H120" s="44"/>
      <c r="I120" s="217"/>
      <c r="J120" s="44"/>
    </row>
    <row r="121" ht="12.75" customHeight="1">
      <c r="A121" s="149" t="s">
        <v>164</v>
      </c>
      <c r="B121" s="43"/>
      <c r="C121" s="43"/>
      <c r="D121" s="44"/>
      <c r="E121" s="212"/>
      <c r="F121" s="44"/>
      <c r="G121" s="212"/>
      <c r="H121" s="44"/>
      <c r="I121" s="213"/>
      <c r="J121" s="44"/>
    </row>
    <row r="122" ht="12.75" customHeight="1">
      <c r="A122" s="214" t="s">
        <v>165</v>
      </c>
      <c r="B122" s="43"/>
      <c r="C122" s="43"/>
      <c r="D122" s="44"/>
      <c r="E122" s="215"/>
      <c r="F122" s="44"/>
      <c r="G122" s="216"/>
      <c r="H122" s="44"/>
      <c r="I122" s="217"/>
      <c r="J122" s="44"/>
    </row>
    <row r="123" ht="12.75" customHeight="1">
      <c r="A123" s="149" t="s">
        <v>166</v>
      </c>
      <c r="B123" s="43"/>
      <c r="C123" s="43"/>
      <c r="D123" s="44"/>
      <c r="E123" s="212"/>
      <c r="F123" s="44"/>
      <c r="G123" s="212"/>
      <c r="H123" s="44"/>
      <c r="I123" s="213"/>
      <c r="J123" s="44"/>
    </row>
    <row r="124" ht="12.75" customHeight="1">
      <c r="A124" s="214" t="s">
        <v>167</v>
      </c>
      <c r="B124" s="43"/>
      <c r="C124" s="43"/>
      <c r="D124" s="44"/>
      <c r="E124" s="215"/>
      <c r="F124" s="44"/>
      <c r="G124" s="216"/>
      <c r="H124" s="44"/>
      <c r="I124" s="217"/>
      <c r="J124" s="44"/>
    </row>
    <row r="125" ht="12.75" customHeight="1">
      <c r="A125" s="149" t="s">
        <v>168</v>
      </c>
      <c r="B125" s="43"/>
      <c r="C125" s="43"/>
      <c r="D125" s="44"/>
      <c r="E125" s="218"/>
      <c r="F125" s="44"/>
      <c r="G125" s="218"/>
      <c r="H125" s="44"/>
      <c r="I125" s="219"/>
      <c r="J125" s="44"/>
    </row>
    <row r="126" ht="12.75" customHeight="1">
      <c r="A126" s="220"/>
      <c r="B126" s="43"/>
      <c r="C126" s="43"/>
      <c r="D126" s="44"/>
      <c r="E126" s="215"/>
      <c r="F126" s="44"/>
      <c r="G126" s="216"/>
      <c r="H126" s="44"/>
      <c r="I126" s="216"/>
      <c r="J126" s="44"/>
    </row>
    <row r="127" ht="12.75" customHeight="1">
      <c r="A127" s="220"/>
      <c r="B127" s="43"/>
      <c r="C127" s="43"/>
      <c r="D127" s="44"/>
      <c r="E127" s="215"/>
      <c r="F127" s="44"/>
      <c r="G127" s="216"/>
      <c r="H127" s="44"/>
      <c r="I127" s="216"/>
      <c r="J127" s="44"/>
    </row>
    <row r="128" ht="12.75" customHeight="1">
      <c r="A128" s="220"/>
      <c r="B128" s="43"/>
      <c r="C128" s="43"/>
      <c r="D128" s="44"/>
      <c r="E128" s="215"/>
      <c r="F128" s="44"/>
      <c r="G128" s="216"/>
      <c r="H128" s="44"/>
      <c r="I128" s="216"/>
      <c r="J128" s="44"/>
    </row>
    <row r="129" ht="12.75" customHeight="1">
      <c r="A129" s="151" t="s">
        <v>169</v>
      </c>
      <c r="B129" s="43"/>
      <c r="C129" s="43"/>
      <c r="D129" s="44"/>
      <c r="E129" s="221">
        <f>SUM(E119:E128)</f>
        <v>0</v>
      </c>
      <c r="F129" s="44"/>
      <c r="G129" s="221">
        <f>SUM(G119:G128)</f>
        <v>0</v>
      </c>
      <c r="H129" s="44"/>
      <c r="I129" s="221">
        <f>SUM(I119:I128)</f>
        <v>0</v>
      </c>
      <c r="J129" s="44"/>
    </row>
    <row r="130" ht="12.75" customHeight="1">
      <c r="A130" s="222" t="s">
        <v>170</v>
      </c>
      <c r="B130" s="49"/>
      <c r="C130" s="49"/>
      <c r="D130" s="49"/>
      <c r="E130" s="49"/>
      <c r="F130" s="49"/>
      <c r="G130" s="49"/>
      <c r="H130" s="49"/>
      <c r="I130" s="49"/>
      <c r="J130" s="50"/>
    </row>
    <row r="131" ht="12.75" customHeight="1">
      <c r="A131" s="223" t="s">
        <v>171</v>
      </c>
      <c r="B131" s="56"/>
      <c r="C131" s="56"/>
      <c r="D131" s="56"/>
      <c r="E131" s="56"/>
      <c r="F131" s="56"/>
      <c r="G131" s="56"/>
      <c r="H131" s="56"/>
      <c r="I131" s="56"/>
      <c r="J131" s="57"/>
    </row>
    <row r="132" ht="12.75" customHeight="1">
      <c r="A132" s="223" t="s">
        <v>172</v>
      </c>
      <c r="B132" s="56"/>
      <c r="C132" s="56"/>
      <c r="D132" s="56"/>
      <c r="E132" s="56"/>
      <c r="F132" s="56"/>
      <c r="G132" s="56"/>
      <c r="H132" s="56"/>
      <c r="I132" s="56"/>
      <c r="J132" s="57"/>
    </row>
    <row r="133" ht="12.75" customHeight="1">
      <c r="A133" s="224" t="s">
        <v>173</v>
      </c>
      <c r="B133" s="207"/>
      <c r="C133" s="207"/>
      <c r="D133" s="207"/>
      <c r="E133" s="207"/>
      <c r="F133" s="207"/>
      <c r="G133" s="207"/>
      <c r="H133" s="207"/>
      <c r="I133" s="207"/>
      <c r="J133" s="208"/>
    </row>
    <row r="134" ht="12.75" customHeight="1">
      <c r="A134" s="118"/>
      <c r="B134" s="8"/>
      <c r="C134" s="8"/>
      <c r="D134" s="8"/>
      <c r="E134" s="8"/>
      <c r="F134" s="8"/>
      <c r="G134" s="8"/>
      <c r="H134" s="8"/>
      <c r="I134" s="8"/>
      <c r="J134" s="9"/>
    </row>
    <row r="135" ht="12.75" customHeight="1">
      <c r="A135" s="10"/>
      <c r="J135" s="31"/>
    </row>
    <row r="136" ht="12.75" customHeight="1">
      <c r="A136" s="10"/>
      <c r="J136" s="31"/>
    </row>
    <row r="137" ht="12.75" customHeight="1">
      <c r="A137" s="10"/>
      <c r="J137" s="31"/>
    </row>
    <row r="138" ht="12.75" customHeight="1">
      <c r="A138" s="10"/>
      <c r="J138" s="31"/>
    </row>
    <row r="139" ht="12.75" customHeight="1">
      <c r="A139" s="10"/>
      <c r="J139" s="31"/>
    </row>
    <row r="140" ht="12.75" customHeight="1">
      <c r="A140" s="10"/>
      <c r="J140" s="31"/>
    </row>
    <row r="141" ht="12.75" customHeight="1">
      <c r="A141" s="10"/>
      <c r="J141" s="31"/>
    </row>
    <row r="142" ht="12.75" customHeight="1">
      <c r="A142" s="10"/>
      <c r="J142" s="31"/>
    </row>
    <row r="143" ht="12.75" customHeight="1">
      <c r="A143" s="10"/>
      <c r="J143" s="31"/>
    </row>
    <row r="144" ht="12.75" customHeight="1">
      <c r="A144" s="10"/>
      <c r="J144" s="31"/>
    </row>
    <row r="145" ht="12.75" customHeight="1">
      <c r="A145" s="10"/>
      <c r="J145" s="31"/>
    </row>
    <row r="146" ht="12.75" customHeight="1">
      <c r="A146" s="10"/>
      <c r="J146" s="31"/>
    </row>
    <row r="147" ht="12.75" customHeight="1">
      <c r="A147" s="10"/>
      <c r="J147" s="31"/>
    </row>
    <row r="148" ht="12.75" customHeight="1">
      <c r="A148" s="10"/>
      <c r="J148" s="31"/>
    </row>
    <row r="149" ht="12.75" customHeight="1">
      <c r="A149" s="10"/>
      <c r="J149" s="31"/>
    </row>
    <row r="150" ht="12.75" customHeight="1">
      <c r="A150" s="10"/>
      <c r="J150" s="31"/>
    </row>
    <row r="151" ht="12.75" customHeight="1">
      <c r="A151" s="10"/>
      <c r="J151" s="31"/>
    </row>
    <row r="152" ht="12.75" customHeight="1">
      <c r="A152" s="10"/>
      <c r="J152" s="31"/>
    </row>
    <row r="153" ht="12.75" customHeight="1">
      <c r="A153" s="10"/>
      <c r="J153" s="31"/>
    </row>
    <row r="154" ht="12.75" customHeight="1">
      <c r="A154" s="10"/>
      <c r="J154" s="31"/>
    </row>
    <row r="155" ht="12.75" customHeight="1">
      <c r="A155" s="10"/>
      <c r="J155" s="31"/>
    </row>
    <row r="156" ht="12.75" customHeight="1">
      <c r="A156" s="10"/>
      <c r="J156" s="31"/>
    </row>
    <row r="157" ht="12.75" customHeight="1">
      <c r="A157" s="10"/>
      <c r="J157" s="31"/>
    </row>
    <row r="158" ht="12.75" customHeight="1">
      <c r="A158" s="10"/>
      <c r="J158" s="31"/>
    </row>
    <row r="159" ht="12.75" customHeight="1">
      <c r="A159" s="10"/>
      <c r="J159" s="31"/>
    </row>
    <row r="160" ht="12.75" customHeight="1">
      <c r="A160" s="10"/>
      <c r="J160" s="31"/>
    </row>
    <row r="161" ht="12.75" customHeight="1">
      <c r="A161" s="10"/>
      <c r="J161" s="31"/>
    </row>
    <row r="162" ht="12.75" customHeight="1">
      <c r="A162" s="10"/>
      <c r="J162" s="31"/>
    </row>
    <row r="163" ht="12.75" customHeight="1">
      <c r="A163" s="10"/>
      <c r="J163" s="31"/>
    </row>
    <row r="164" ht="12.75" customHeight="1">
      <c r="A164" s="10"/>
      <c r="J164" s="31"/>
    </row>
    <row r="165" ht="12.75" customHeight="1">
      <c r="A165" s="21"/>
      <c r="B165" s="53"/>
      <c r="C165" s="53"/>
      <c r="D165" s="53"/>
      <c r="E165" s="53"/>
      <c r="F165" s="53"/>
      <c r="G165" s="53"/>
      <c r="H165" s="53"/>
      <c r="I165" s="53"/>
      <c r="J165" s="54"/>
    </row>
    <row r="166" ht="12.75" customHeight="1"/>
    <row r="167" ht="12.75" customHeight="1">
      <c r="A167" s="127" t="s">
        <v>80</v>
      </c>
      <c r="B167" s="43"/>
      <c r="C167" s="43"/>
      <c r="D167" s="43"/>
      <c r="E167" s="43"/>
      <c r="F167" s="43"/>
      <c r="G167" s="75"/>
      <c r="H167" s="128" t="str">
        <f>'CONTACT INFORMATION'!$A$24</f>
        <v>Amador</v>
      </c>
      <c r="I167" s="43"/>
      <c r="J167" s="44"/>
    </row>
    <row r="168" ht="12.75" customHeight="1">
      <c r="A168" s="228"/>
      <c r="B168" s="228"/>
      <c r="C168" s="228"/>
      <c r="D168" s="228"/>
      <c r="E168" s="228"/>
      <c r="F168" s="228"/>
      <c r="G168" s="228"/>
      <c r="H168" s="228"/>
      <c r="I168" s="228"/>
      <c r="J168" s="228"/>
    </row>
    <row r="169" ht="12.75" customHeight="1">
      <c r="A169" s="203" t="s">
        <v>215</v>
      </c>
      <c r="B169" s="43"/>
      <c r="C169" s="43"/>
      <c r="D169" s="43"/>
      <c r="E169" s="43"/>
      <c r="F169" s="43"/>
      <c r="G169" s="43"/>
      <c r="H169" s="43"/>
      <c r="I169" s="43"/>
      <c r="J169" s="44"/>
    </row>
    <row r="170" ht="12.75" customHeight="1">
      <c r="A170" s="204" t="s">
        <v>155</v>
      </c>
      <c r="B170" s="49"/>
      <c r="C170" s="49"/>
      <c r="D170" s="50"/>
      <c r="E170" s="231"/>
      <c r="F170" s="8"/>
      <c r="G170" s="8"/>
      <c r="H170" s="8"/>
      <c r="I170" s="8"/>
      <c r="J170" s="9"/>
    </row>
    <row r="171" ht="12.75" customHeight="1">
      <c r="A171" s="206" t="s">
        <v>184</v>
      </c>
      <c r="B171" s="207"/>
      <c r="C171" s="207"/>
      <c r="D171" s="208"/>
      <c r="E171" s="21"/>
      <c r="F171" s="53"/>
      <c r="G171" s="53"/>
      <c r="H171" s="53"/>
      <c r="I171" s="53"/>
      <c r="J171" s="54"/>
    </row>
    <row r="172" ht="12.75" customHeight="1">
      <c r="A172" s="209" t="s">
        <v>216</v>
      </c>
      <c r="B172" s="43"/>
      <c r="C172" s="43"/>
      <c r="D172" s="44"/>
      <c r="E172" s="147"/>
      <c r="F172" s="43"/>
      <c r="G172" s="43"/>
      <c r="H172" s="43"/>
      <c r="I172" s="43"/>
      <c r="J172" s="44"/>
    </row>
    <row r="173" ht="12.75" customHeight="1">
      <c r="A173" s="229"/>
      <c r="B173" s="210"/>
      <c r="C173" s="210"/>
      <c r="D173" s="210"/>
      <c r="E173" s="210" t="s">
        <v>159</v>
      </c>
      <c r="F173" s="53"/>
      <c r="G173" s="210" t="s">
        <v>160</v>
      </c>
      <c r="H173" s="53"/>
      <c r="I173" s="211" t="s">
        <v>161</v>
      </c>
      <c r="J173" s="54"/>
    </row>
    <row r="174" ht="12.75" customHeight="1">
      <c r="A174" s="149" t="s">
        <v>162</v>
      </c>
      <c r="B174" s="43"/>
      <c r="C174" s="43"/>
      <c r="D174" s="44"/>
      <c r="E174" s="212"/>
      <c r="F174" s="44"/>
      <c r="G174" s="212"/>
      <c r="H174" s="44"/>
      <c r="I174" s="213"/>
      <c r="J174" s="44"/>
    </row>
    <row r="175" ht="12.75" customHeight="1">
      <c r="A175" s="214" t="s">
        <v>163</v>
      </c>
      <c r="B175" s="43"/>
      <c r="C175" s="43"/>
      <c r="D175" s="44"/>
      <c r="E175" s="215"/>
      <c r="F175" s="44"/>
      <c r="G175" s="216"/>
      <c r="H175" s="44"/>
      <c r="I175" s="217"/>
      <c r="J175" s="44"/>
    </row>
    <row r="176" ht="12.75" customHeight="1">
      <c r="A176" s="149" t="s">
        <v>164</v>
      </c>
      <c r="B176" s="43"/>
      <c r="C176" s="43"/>
      <c r="D176" s="44"/>
      <c r="E176" s="212"/>
      <c r="F176" s="44"/>
      <c r="G176" s="212"/>
      <c r="H176" s="44"/>
      <c r="I176" s="213"/>
      <c r="J176" s="44"/>
    </row>
    <row r="177" ht="12.75" customHeight="1">
      <c r="A177" s="214" t="s">
        <v>165</v>
      </c>
      <c r="B177" s="43"/>
      <c r="C177" s="43"/>
      <c r="D177" s="44"/>
      <c r="E177" s="215"/>
      <c r="F177" s="44"/>
      <c r="G177" s="216"/>
      <c r="H177" s="44"/>
      <c r="I177" s="217"/>
      <c r="J177" s="44"/>
    </row>
    <row r="178" ht="12.75" customHeight="1">
      <c r="A178" s="149" t="s">
        <v>166</v>
      </c>
      <c r="B178" s="43"/>
      <c r="C178" s="43"/>
      <c r="D178" s="44"/>
      <c r="E178" s="212"/>
      <c r="F178" s="44"/>
      <c r="G178" s="212"/>
      <c r="H178" s="44"/>
      <c r="I178" s="213"/>
      <c r="J178" s="44"/>
    </row>
    <row r="179" ht="12.75" customHeight="1">
      <c r="A179" s="214" t="s">
        <v>167</v>
      </c>
      <c r="B179" s="43"/>
      <c r="C179" s="43"/>
      <c r="D179" s="44"/>
      <c r="E179" s="215"/>
      <c r="F179" s="44"/>
      <c r="G179" s="216"/>
      <c r="H179" s="44"/>
      <c r="I179" s="217"/>
      <c r="J179" s="44"/>
    </row>
    <row r="180" ht="12.75" customHeight="1">
      <c r="A180" s="149" t="s">
        <v>168</v>
      </c>
      <c r="B180" s="43"/>
      <c r="C180" s="43"/>
      <c r="D180" s="44"/>
      <c r="E180" s="218"/>
      <c r="F180" s="44"/>
      <c r="G180" s="218"/>
      <c r="H180" s="44"/>
      <c r="I180" s="219"/>
      <c r="J180" s="44"/>
    </row>
    <row r="181" ht="12.75" customHeight="1">
      <c r="A181" s="220"/>
      <c r="B181" s="43"/>
      <c r="C181" s="43"/>
      <c r="D181" s="44"/>
      <c r="E181" s="215"/>
      <c r="F181" s="44"/>
      <c r="G181" s="216"/>
      <c r="H181" s="44"/>
      <c r="I181" s="216"/>
      <c r="J181" s="44"/>
    </row>
    <row r="182" ht="12.75" customHeight="1">
      <c r="A182" s="220"/>
      <c r="B182" s="43"/>
      <c r="C182" s="43"/>
      <c r="D182" s="44"/>
      <c r="E182" s="215"/>
      <c r="F182" s="44"/>
      <c r="G182" s="216"/>
      <c r="H182" s="44"/>
      <c r="I182" s="216"/>
      <c r="J182" s="44"/>
    </row>
    <row r="183" ht="12.75" customHeight="1">
      <c r="A183" s="220"/>
      <c r="B183" s="43"/>
      <c r="C183" s="43"/>
      <c r="D183" s="44"/>
      <c r="E183" s="215"/>
      <c r="F183" s="44"/>
      <c r="G183" s="216"/>
      <c r="H183" s="44"/>
      <c r="I183" s="216"/>
      <c r="J183" s="44"/>
    </row>
    <row r="184" ht="12.75" customHeight="1">
      <c r="A184" s="151" t="s">
        <v>169</v>
      </c>
      <c r="B184" s="43"/>
      <c r="C184" s="43"/>
      <c r="D184" s="44"/>
      <c r="E184" s="221">
        <f>SUM(E174:E183)</f>
        <v>0</v>
      </c>
      <c r="F184" s="44"/>
      <c r="G184" s="221">
        <f>SUM(G174:G183)</f>
        <v>0</v>
      </c>
      <c r="H184" s="44"/>
      <c r="I184" s="221">
        <f>SUM(I174:I183)</f>
        <v>0</v>
      </c>
      <c r="J184" s="44"/>
    </row>
    <row r="185" ht="12.75" customHeight="1">
      <c r="A185" s="222" t="s">
        <v>170</v>
      </c>
      <c r="B185" s="49"/>
      <c r="C185" s="49"/>
      <c r="D185" s="49"/>
      <c r="E185" s="49"/>
      <c r="F185" s="49"/>
      <c r="G185" s="49"/>
      <c r="H185" s="49"/>
      <c r="I185" s="49"/>
      <c r="J185" s="50"/>
    </row>
    <row r="186" ht="12.75" customHeight="1">
      <c r="A186" s="223" t="s">
        <v>171</v>
      </c>
      <c r="B186" s="56"/>
      <c r="C186" s="56"/>
      <c r="D186" s="56"/>
      <c r="E186" s="56"/>
      <c r="F186" s="56"/>
      <c r="G186" s="56"/>
      <c r="H186" s="56"/>
      <c r="I186" s="56"/>
      <c r="J186" s="57"/>
    </row>
    <row r="187" ht="12.75" customHeight="1">
      <c r="A187" s="223" t="s">
        <v>172</v>
      </c>
      <c r="B187" s="56"/>
      <c r="C187" s="56"/>
      <c r="D187" s="56"/>
      <c r="E187" s="56"/>
      <c r="F187" s="56"/>
      <c r="G187" s="56"/>
      <c r="H187" s="56"/>
      <c r="I187" s="56"/>
      <c r="J187" s="57"/>
    </row>
    <row r="188" ht="12.75" customHeight="1">
      <c r="A188" s="224" t="s">
        <v>173</v>
      </c>
      <c r="B188" s="207"/>
      <c r="C188" s="207"/>
      <c r="D188" s="207"/>
      <c r="E188" s="207"/>
      <c r="F188" s="207"/>
      <c r="G188" s="207"/>
      <c r="H188" s="207"/>
      <c r="I188" s="207"/>
      <c r="J188" s="208"/>
    </row>
    <row r="189" ht="12.75" customHeight="1">
      <c r="A189" s="118"/>
      <c r="B189" s="8"/>
      <c r="C189" s="8"/>
      <c r="D189" s="8"/>
      <c r="E189" s="8"/>
      <c r="F189" s="8"/>
      <c r="G189" s="8"/>
      <c r="H189" s="8"/>
      <c r="I189" s="8"/>
      <c r="J189" s="9"/>
    </row>
    <row r="190" ht="12.75" customHeight="1">
      <c r="A190" s="10"/>
      <c r="J190" s="31"/>
    </row>
    <row r="191" ht="12.75" customHeight="1">
      <c r="A191" s="10"/>
      <c r="J191" s="31"/>
    </row>
    <row r="192" ht="12.75" customHeight="1">
      <c r="A192" s="10"/>
      <c r="J192" s="31"/>
    </row>
    <row r="193" ht="12.75" customHeight="1">
      <c r="A193" s="10"/>
      <c r="J193" s="31"/>
    </row>
    <row r="194" ht="12.75" customHeight="1">
      <c r="A194" s="10"/>
      <c r="J194" s="31"/>
    </row>
    <row r="195" ht="12.75" customHeight="1">
      <c r="A195" s="10"/>
      <c r="J195" s="31"/>
    </row>
    <row r="196" ht="12.75" customHeight="1">
      <c r="A196" s="10"/>
      <c r="J196" s="31"/>
    </row>
    <row r="197" ht="12.75" customHeight="1">
      <c r="A197" s="10"/>
      <c r="J197" s="31"/>
    </row>
    <row r="198" ht="12.75" customHeight="1">
      <c r="A198" s="10"/>
      <c r="J198" s="31"/>
    </row>
    <row r="199" ht="12.75" customHeight="1">
      <c r="A199" s="10"/>
      <c r="J199" s="31"/>
    </row>
    <row r="200" ht="12.75" customHeight="1">
      <c r="A200" s="10"/>
      <c r="J200" s="31"/>
    </row>
    <row r="201" ht="12.75" customHeight="1">
      <c r="A201" s="10"/>
      <c r="J201" s="31"/>
    </row>
    <row r="202" ht="12.75" customHeight="1">
      <c r="A202" s="10"/>
      <c r="J202" s="31"/>
    </row>
    <row r="203" ht="12.75" customHeight="1">
      <c r="A203" s="10"/>
      <c r="J203" s="31"/>
    </row>
    <row r="204" ht="12.75" customHeight="1">
      <c r="A204" s="10"/>
      <c r="J204" s="31"/>
    </row>
    <row r="205" ht="12.75" customHeight="1">
      <c r="A205" s="10"/>
      <c r="J205" s="31"/>
    </row>
    <row r="206" ht="12.75" customHeight="1">
      <c r="A206" s="10"/>
      <c r="J206" s="31"/>
    </row>
    <row r="207" ht="12.75" customHeight="1">
      <c r="A207" s="10"/>
      <c r="J207" s="31"/>
    </row>
    <row r="208" ht="12.75" customHeight="1">
      <c r="A208" s="10"/>
      <c r="J208" s="31"/>
    </row>
    <row r="209" ht="12.75" customHeight="1">
      <c r="A209" s="10"/>
      <c r="J209" s="31"/>
    </row>
    <row r="210" ht="12.75" customHeight="1">
      <c r="A210" s="10"/>
      <c r="J210" s="31"/>
    </row>
    <row r="211" ht="12.75" customHeight="1">
      <c r="A211" s="10"/>
      <c r="J211" s="31"/>
    </row>
    <row r="212" ht="12.75" customHeight="1">
      <c r="A212" s="10"/>
      <c r="J212" s="31"/>
    </row>
    <row r="213" ht="12.75" customHeight="1">
      <c r="A213" s="10"/>
      <c r="J213" s="31"/>
    </row>
    <row r="214" ht="12.75" customHeight="1">
      <c r="A214" s="10"/>
      <c r="J214" s="31"/>
    </row>
    <row r="215" ht="12.75" customHeight="1">
      <c r="A215" s="10"/>
      <c r="J215" s="31"/>
    </row>
    <row r="216" ht="12.75" customHeight="1">
      <c r="A216" s="10"/>
      <c r="J216" s="31"/>
    </row>
    <row r="217" ht="12.75" customHeight="1">
      <c r="A217" s="10"/>
      <c r="J217" s="31"/>
    </row>
    <row r="218" ht="12.75" customHeight="1">
      <c r="A218" s="10"/>
      <c r="J218" s="31"/>
    </row>
    <row r="219" ht="12.75" customHeight="1">
      <c r="A219" s="10"/>
      <c r="J219" s="31"/>
    </row>
    <row r="220" ht="12.75" customHeight="1">
      <c r="A220" s="21"/>
      <c r="B220" s="53"/>
      <c r="C220" s="53"/>
      <c r="D220" s="53"/>
      <c r="E220" s="53"/>
      <c r="F220" s="53"/>
      <c r="G220" s="53"/>
      <c r="H220" s="53"/>
      <c r="I220" s="53"/>
      <c r="J220" s="54"/>
    </row>
    <row r="221" ht="12.75" customHeight="1"/>
    <row r="222" ht="12.75" customHeight="1">
      <c r="A222" s="127" t="s">
        <v>80</v>
      </c>
      <c r="B222" s="43"/>
      <c r="C222" s="43"/>
      <c r="D222" s="43"/>
      <c r="E222" s="43"/>
      <c r="F222" s="43"/>
      <c r="G222" s="75"/>
      <c r="H222" s="128" t="str">
        <f>'CONTACT INFORMATION'!$A$24</f>
        <v>Amador</v>
      </c>
      <c r="I222" s="43"/>
      <c r="J222" s="44"/>
    </row>
    <row r="223" ht="12.75" customHeight="1">
      <c r="A223" s="228"/>
      <c r="B223" s="228"/>
      <c r="C223" s="228"/>
      <c r="D223" s="228"/>
      <c r="E223" s="228"/>
      <c r="F223" s="228"/>
      <c r="G223" s="228"/>
      <c r="H223" s="228"/>
      <c r="I223" s="228"/>
      <c r="J223" s="228"/>
    </row>
    <row r="224" ht="12.75" customHeight="1">
      <c r="A224" s="203" t="s">
        <v>217</v>
      </c>
      <c r="B224" s="43"/>
      <c r="C224" s="43"/>
      <c r="D224" s="43"/>
      <c r="E224" s="43"/>
      <c r="F224" s="43"/>
      <c r="G224" s="43"/>
      <c r="H224" s="43"/>
      <c r="I224" s="43"/>
      <c r="J224" s="44"/>
    </row>
    <row r="225" ht="12.75" customHeight="1">
      <c r="A225" s="204" t="s">
        <v>155</v>
      </c>
      <c r="B225" s="49"/>
      <c r="C225" s="49"/>
      <c r="D225" s="50"/>
      <c r="E225" s="231"/>
      <c r="F225" s="8"/>
      <c r="G225" s="8"/>
      <c r="H225" s="8"/>
      <c r="I225" s="8"/>
      <c r="J225" s="9"/>
    </row>
    <row r="226" ht="12.75" customHeight="1">
      <c r="A226" s="206" t="s">
        <v>184</v>
      </c>
      <c r="B226" s="207"/>
      <c r="C226" s="207"/>
      <c r="D226" s="208"/>
      <c r="E226" s="21"/>
      <c r="F226" s="53"/>
      <c r="G226" s="53"/>
      <c r="H226" s="53"/>
      <c r="I226" s="53"/>
      <c r="J226" s="54"/>
    </row>
    <row r="227" ht="12.75" customHeight="1">
      <c r="A227" s="209" t="s">
        <v>218</v>
      </c>
      <c r="B227" s="43"/>
      <c r="C227" s="43"/>
      <c r="D227" s="44"/>
      <c r="E227" s="147"/>
      <c r="F227" s="43"/>
      <c r="G227" s="43"/>
      <c r="H227" s="43"/>
      <c r="I227" s="43"/>
      <c r="J227" s="44"/>
    </row>
    <row r="228" ht="12.75" customHeight="1">
      <c r="A228" s="229"/>
      <c r="B228" s="210"/>
      <c r="C228" s="210"/>
      <c r="D228" s="210"/>
      <c r="E228" s="210" t="s">
        <v>159</v>
      </c>
      <c r="F228" s="53"/>
      <c r="G228" s="210" t="s">
        <v>160</v>
      </c>
      <c r="H228" s="53"/>
      <c r="I228" s="211" t="s">
        <v>161</v>
      </c>
      <c r="J228" s="54"/>
    </row>
    <row r="229" ht="12.75" customHeight="1">
      <c r="A229" s="149" t="s">
        <v>162</v>
      </c>
      <c r="B229" s="43"/>
      <c r="C229" s="43"/>
      <c r="D229" s="44"/>
      <c r="E229" s="212"/>
      <c r="F229" s="44"/>
      <c r="G229" s="212"/>
      <c r="H229" s="44"/>
      <c r="I229" s="213"/>
      <c r="J229" s="44"/>
    </row>
    <row r="230" ht="12.75" customHeight="1">
      <c r="A230" s="214" t="s">
        <v>163</v>
      </c>
      <c r="B230" s="43"/>
      <c r="C230" s="43"/>
      <c r="D230" s="44"/>
      <c r="E230" s="215"/>
      <c r="F230" s="44"/>
      <c r="G230" s="216"/>
      <c r="H230" s="44"/>
      <c r="I230" s="217"/>
      <c r="J230" s="44"/>
    </row>
    <row r="231" ht="12.75" customHeight="1">
      <c r="A231" s="149" t="s">
        <v>164</v>
      </c>
      <c r="B231" s="43"/>
      <c r="C231" s="43"/>
      <c r="D231" s="44"/>
      <c r="E231" s="212"/>
      <c r="F231" s="44"/>
      <c r="G231" s="212"/>
      <c r="H231" s="44"/>
      <c r="I231" s="213"/>
      <c r="J231" s="44"/>
    </row>
    <row r="232" ht="12.75" customHeight="1">
      <c r="A232" s="214" t="s">
        <v>165</v>
      </c>
      <c r="B232" s="43"/>
      <c r="C232" s="43"/>
      <c r="D232" s="44"/>
      <c r="E232" s="215"/>
      <c r="F232" s="44"/>
      <c r="G232" s="216"/>
      <c r="H232" s="44"/>
      <c r="I232" s="217"/>
      <c r="J232" s="44"/>
    </row>
    <row r="233" ht="12.75" customHeight="1">
      <c r="A233" s="149" t="s">
        <v>166</v>
      </c>
      <c r="B233" s="43"/>
      <c r="C233" s="43"/>
      <c r="D233" s="44"/>
      <c r="E233" s="212"/>
      <c r="F233" s="44"/>
      <c r="G233" s="212"/>
      <c r="H233" s="44"/>
      <c r="I233" s="213"/>
      <c r="J233" s="44"/>
    </row>
    <row r="234" ht="12.75" customHeight="1">
      <c r="A234" s="214" t="s">
        <v>167</v>
      </c>
      <c r="B234" s="43"/>
      <c r="C234" s="43"/>
      <c r="D234" s="44"/>
      <c r="E234" s="215"/>
      <c r="F234" s="44"/>
      <c r="G234" s="216"/>
      <c r="H234" s="44"/>
      <c r="I234" s="217"/>
      <c r="J234" s="44"/>
    </row>
    <row r="235" ht="12.75" customHeight="1">
      <c r="A235" s="149" t="s">
        <v>168</v>
      </c>
      <c r="B235" s="43"/>
      <c r="C235" s="43"/>
      <c r="D235" s="44"/>
      <c r="E235" s="218"/>
      <c r="F235" s="44"/>
      <c r="G235" s="218"/>
      <c r="H235" s="44"/>
      <c r="I235" s="219"/>
      <c r="J235" s="44"/>
    </row>
    <row r="236" ht="12.75" customHeight="1">
      <c r="A236" s="220"/>
      <c r="B236" s="43"/>
      <c r="C236" s="43"/>
      <c r="D236" s="44"/>
      <c r="E236" s="215"/>
      <c r="F236" s="44"/>
      <c r="G236" s="216"/>
      <c r="H236" s="44"/>
      <c r="I236" s="216"/>
      <c r="J236" s="44"/>
    </row>
    <row r="237" ht="12.75" customHeight="1">
      <c r="A237" s="220"/>
      <c r="B237" s="43"/>
      <c r="C237" s="43"/>
      <c r="D237" s="44"/>
      <c r="E237" s="215"/>
      <c r="F237" s="44"/>
      <c r="G237" s="216"/>
      <c r="H237" s="44"/>
      <c r="I237" s="216"/>
      <c r="J237" s="44"/>
    </row>
    <row r="238" ht="12.75" customHeight="1">
      <c r="A238" s="220"/>
      <c r="B238" s="43"/>
      <c r="C238" s="43"/>
      <c r="D238" s="44"/>
      <c r="E238" s="215"/>
      <c r="F238" s="44"/>
      <c r="G238" s="216"/>
      <c r="H238" s="44"/>
      <c r="I238" s="216"/>
      <c r="J238" s="44"/>
    </row>
    <row r="239" ht="12.75" customHeight="1">
      <c r="A239" s="151" t="s">
        <v>169</v>
      </c>
      <c r="B239" s="43"/>
      <c r="C239" s="43"/>
      <c r="D239" s="44"/>
      <c r="E239" s="221">
        <f>SUM(E229:E238)</f>
        <v>0</v>
      </c>
      <c r="F239" s="44"/>
      <c r="G239" s="221">
        <f>SUM(G229:G238)</f>
        <v>0</v>
      </c>
      <c r="H239" s="44"/>
      <c r="I239" s="221">
        <f>SUM(I229:I238)</f>
        <v>0</v>
      </c>
      <c r="J239" s="44"/>
    </row>
    <row r="240" ht="12.75" customHeight="1">
      <c r="A240" s="222" t="s">
        <v>170</v>
      </c>
      <c r="B240" s="49"/>
      <c r="C240" s="49"/>
      <c r="D240" s="49"/>
      <c r="E240" s="49"/>
      <c r="F240" s="49"/>
      <c r="G240" s="49"/>
      <c r="H240" s="49"/>
      <c r="I240" s="49"/>
      <c r="J240" s="50"/>
    </row>
    <row r="241" ht="12.75" customHeight="1">
      <c r="A241" s="223" t="s">
        <v>171</v>
      </c>
      <c r="B241" s="56"/>
      <c r="C241" s="56"/>
      <c r="D241" s="56"/>
      <c r="E241" s="56"/>
      <c r="F241" s="56"/>
      <c r="G241" s="56"/>
      <c r="H241" s="56"/>
      <c r="I241" s="56"/>
      <c r="J241" s="57"/>
    </row>
    <row r="242" ht="12.75" customHeight="1">
      <c r="A242" s="223" t="s">
        <v>172</v>
      </c>
      <c r="B242" s="56"/>
      <c r="C242" s="56"/>
      <c r="D242" s="56"/>
      <c r="E242" s="56"/>
      <c r="F242" s="56"/>
      <c r="G242" s="56"/>
      <c r="H242" s="56"/>
      <c r="I242" s="56"/>
      <c r="J242" s="57"/>
    </row>
    <row r="243" ht="12.75" customHeight="1">
      <c r="A243" s="224" t="s">
        <v>173</v>
      </c>
      <c r="B243" s="207"/>
      <c r="C243" s="207"/>
      <c r="D243" s="207"/>
      <c r="E243" s="207"/>
      <c r="F243" s="207"/>
      <c r="G243" s="207"/>
      <c r="H243" s="207"/>
      <c r="I243" s="207"/>
      <c r="J243" s="208"/>
    </row>
    <row r="244" ht="12.75" customHeight="1">
      <c r="A244" s="118"/>
      <c r="B244" s="8"/>
      <c r="C244" s="8"/>
      <c r="D244" s="8"/>
      <c r="E244" s="8"/>
      <c r="F244" s="8"/>
      <c r="G244" s="8"/>
      <c r="H244" s="8"/>
      <c r="I244" s="8"/>
      <c r="J244" s="9"/>
    </row>
    <row r="245" ht="12.75" customHeight="1">
      <c r="A245" s="10"/>
      <c r="J245" s="31"/>
    </row>
    <row r="246" ht="12.75" customHeight="1">
      <c r="A246" s="10"/>
      <c r="J246" s="31"/>
    </row>
    <row r="247" ht="12.75" customHeight="1">
      <c r="A247" s="10"/>
      <c r="J247" s="31"/>
    </row>
    <row r="248" ht="12.75" customHeight="1">
      <c r="A248" s="10"/>
      <c r="J248" s="31"/>
    </row>
    <row r="249" ht="12.75" customHeight="1">
      <c r="A249" s="10"/>
      <c r="J249" s="31"/>
    </row>
    <row r="250" ht="12.75" customHeight="1">
      <c r="A250" s="10"/>
      <c r="J250" s="31"/>
    </row>
    <row r="251" ht="12.75" customHeight="1">
      <c r="A251" s="10"/>
      <c r="J251" s="31"/>
    </row>
    <row r="252" ht="12.75" customHeight="1">
      <c r="A252" s="10"/>
      <c r="J252" s="31"/>
    </row>
    <row r="253" ht="12.75" customHeight="1">
      <c r="A253" s="10"/>
      <c r="J253" s="31"/>
    </row>
    <row r="254" ht="12.75" customHeight="1">
      <c r="A254" s="10"/>
      <c r="J254" s="31"/>
    </row>
    <row r="255" ht="12.75" customHeight="1">
      <c r="A255" s="10"/>
      <c r="J255" s="31"/>
    </row>
    <row r="256" ht="12.75" customHeight="1">
      <c r="A256" s="10"/>
      <c r="J256" s="31"/>
    </row>
    <row r="257" ht="12.75" customHeight="1">
      <c r="A257" s="10"/>
      <c r="J257" s="31"/>
    </row>
    <row r="258" ht="12.75" customHeight="1">
      <c r="A258" s="10"/>
      <c r="J258" s="31"/>
    </row>
    <row r="259" ht="12.75" customHeight="1">
      <c r="A259" s="10"/>
      <c r="J259" s="31"/>
    </row>
    <row r="260" ht="12.75" customHeight="1">
      <c r="A260" s="10"/>
      <c r="J260" s="31"/>
    </row>
    <row r="261" ht="12.75" customHeight="1">
      <c r="A261" s="10"/>
      <c r="J261" s="31"/>
    </row>
    <row r="262" ht="12.75" customHeight="1">
      <c r="A262" s="10"/>
      <c r="J262" s="31"/>
    </row>
    <row r="263" ht="12.75" customHeight="1">
      <c r="A263" s="10"/>
      <c r="J263" s="31"/>
    </row>
    <row r="264" ht="12.75" customHeight="1">
      <c r="A264" s="10"/>
      <c r="J264" s="31"/>
    </row>
    <row r="265" ht="12.75" customHeight="1">
      <c r="A265" s="10"/>
      <c r="J265" s="31"/>
    </row>
    <row r="266" ht="12.75" customHeight="1">
      <c r="A266" s="10"/>
      <c r="J266" s="31"/>
    </row>
    <row r="267" ht="12.75" customHeight="1">
      <c r="A267" s="10"/>
      <c r="J267" s="31"/>
    </row>
    <row r="268" ht="12.75" customHeight="1">
      <c r="A268" s="10"/>
      <c r="J268" s="31"/>
    </row>
    <row r="269" ht="12.75" customHeight="1">
      <c r="A269" s="10"/>
      <c r="J269" s="31"/>
    </row>
    <row r="270" ht="12.75" customHeight="1">
      <c r="A270" s="10"/>
      <c r="J270" s="31"/>
    </row>
    <row r="271" ht="12.75" customHeight="1">
      <c r="A271" s="10"/>
      <c r="J271" s="31"/>
    </row>
    <row r="272" ht="12.75" customHeight="1">
      <c r="A272" s="10"/>
      <c r="J272" s="31"/>
    </row>
    <row r="273" ht="12.75" customHeight="1">
      <c r="A273" s="10"/>
      <c r="J273" s="31"/>
    </row>
    <row r="274" ht="12.75" customHeight="1">
      <c r="A274" s="10"/>
      <c r="J274" s="31"/>
    </row>
    <row r="275" ht="12.75" customHeight="1">
      <c r="A275" s="21"/>
      <c r="B275" s="53"/>
      <c r="C275" s="53"/>
      <c r="D275" s="53"/>
      <c r="E275" s="53"/>
      <c r="F275" s="53"/>
      <c r="G275" s="53"/>
      <c r="H275" s="53"/>
      <c r="I275" s="53"/>
      <c r="J275" s="54"/>
    </row>
    <row r="276" ht="12.75" customHeight="1"/>
    <row r="277" ht="12.75" customHeight="1">
      <c r="A277" s="127" t="s">
        <v>80</v>
      </c>
      <c r="B277" s="43"/>
      <c r="C277" s="43"/>
      <c r="D277" s="43"/>
      <c r="E277" s="43"/>
      <c r="F277" s="43"/>
      <c r="G277" s="75"/>
      <c r="H277" s="128" t="str">
        <f>'CONTACT INFORMATION'!$A$24</f>
        <v>Amador</v>
      </c>
      <c r="I277" s="43"/>
      <c r="J277" s="44"/>
    </row>
    <row r="278" ht="12.75" customHeight="1">
      <c r="A278" s="129"/>
      <c r="B278" s="129"/>
      <c r="C278" s="129"/>
      <c r="D278" s="129"/>
      <c r="E278" s="129"/>
      <c r="F278" s="129"/>
      <c r="G278" s="129"/>
      <c r="H278" s="129"/>
      <c r="I278" s="129"/>
      <c r="J278" s="129"/>
    </row>
    <row r="279" ht="12.75" customHeight="1">
      <c r="A279" s="203" t="s">
        <v>219</v>
      </c>
      <c r="B279" s="43"/>
      <c r="C279" s="43"/>
      <c r="D279" s="43"/>
      <c r="E279" s="43"/>
      <c r="F279" s="43"/>
      <c r="G279" s="43"/>
      <c r="H279" s="43"/>
      <c r="I279" s="43"/>
      <c r="J279" s="44"/>
    </row>
    <row r="280" ht="12.75" customHeight="1">
      <c r="A280" s="204" t="s">
        <v>155</v>
      </c>
      <c r="B280" s="49"/>
      <c r="C280" s="49"/>
      <c r="D280" s="50"/>
      <c r="E280" s="231"/>
      <c r="F280" s="8"/>
      <c r="G280" s="8"/>
      <c r="H280" s="8"/>
      <c r="I280" s="8"/>
      <c r="J280" s="9"/>
    </row>
    <row r="281" ht="12.75" customHeight="1">
      <c r="A281" s="206" t="s">
        <v>184</v>
      </c>
      <c r="B281" s="207"/>
      <c r="C281" s="207"/>
      <c r="D281" s="208"/>
      <c r="E281" s="21"/>
      <c r="F281" s="53"/>
      <c r="G281" s="53"/>
      <c r="H281" s="53"/>
      <c r="I281" s="53"/>
      <c r="J281" s="54"/>
    </row>
    <row r="282" ht="12.75" customHeight="1">
      <c r="A282" s="209" t="s">
        <v>220</v>
      </c>
      <c r="B282" s="43"/>
      <c r="C282" s="43"/>
      <c r="D282" s="44"/>
      <c r="E282" s="150"/>
      <c r="F282" s="43"/>
      <c r="G282" s="43"/>
      <c r="H282" s="43"/>
      <c r="I282" s="43"/>
      <c r="J282" s="44"/>
    </row>
    <row r="283" ht="12.75" customHeight="1">
      <c r="A283" s="112"/>
      <c r="B283" s="114"/>
      <c r="C283" s="114"/>
      <c r="D283" s="114"/>
      <c r="E283" s="235" t="s">
        <v>159</v>
      </c>
      <c r="F283" s="43"/>
      <c r="G283" s="235" t="s">
        <v>160</v>
      </c>
      <c r="H283" s="43"/>
      <c r="I283" s="236" t="s">
        <v>161</v>
      </c>
      <c r="J283" s="44"/>
    </row>
    <row r="284" ht="12.75" customHeight="1">
      <c r="A284" s="149" t="s">
        <v>162</v>
      </c>
      <c r="B284" s="43"/>
      <c r="C284" s="43"/>
      <c r="D284" s="44"/>
      <c r="E284" s="212"/>
      <c r="F284" s="44"/>
      <c r="G284" s="212"/>
      <c r="H284" s="44"/>
      <c r="I284" s="213"/>
      <c r="J284" s="44"/>
    </row>
    <row r="285" ht="12.75" customHeight="1">
      <c r="A285" s="214" t="s">
        <v>163</v>
      </c>
      <c r="B285" s="43"/>
      <c r="C285" s="43"/>
      <c r="D285" s="44"/>
      <c r="E285" s="215"/>
      <c r="F285" s="44"/>
      <c r="G285" s="216"/>
      <c r="H285" s="44"/>
      <c r="I285" s="217"/>
      <c r="J285" s="44"/>
    </row>
    <row r="286" ht="12.75" customHeight="1">
      <c r="A286" s="149" t="s">
        <v>164</v>
      </c>
      <c r="B286" s="43"/>
      <c r="C286" s="43"/>
      <c r="D286" s="44"/>
      <c r="E286" s="212"/>
      <c r="F286" s="44"/>
      <c r="G286" s="212"/>
      <c r="H286" s="44"/>
      <c r="I286" s="213"/>
      <c r="J286" s="44"/>
    </row>
    <row r="287" ht="12.75" customHeight="1">
      <c r="A287" s="214" t="s">
        <v>165</v>
      </c>
      <c r="B287" s="43"/>
      <c r="C287" s="43"/>
      <c r="D287" s="44"/>
      <c r="E287" s="215"/>
      <c r="F287" s="44"/>
      <c r="G287" s="216"/>
      <c r="H287" s="44"/>
      <c r="I287" s="217"/>
      <c r="J287" s="44"/>
    </row>
    <row r="288" ht="12.75" customHeight="1">
      <c r="A288" s="149" t="s">
        <v>166</v>
      </c>
      <c r="B288" s="43"/>
      <c r="C288" s="43"/>
      <c r="D288" s="44"/>
      <c r="E288" s="212"/>
      <c r="F288" s="44"/>
      <c r="G288" s="212"/>
      <c r="H288" s="44"/>
      <c r="I288" s="213"/>
      <c r="J288" s="44"/>
    </row>
    <row r="289" ht="12.75" customHeight="1">
      <c r="A289" s="214" t="s">
        <v>167</v>
      </c>
      <c r="B289" s="43"/>
      <c r="C289" s="43"/>
      <c r="D289" s="44"/>
      <c r="E289" s="215"/>
      <c r="F289" s="44"/>
      <c r="G289" s="216"/>
      <c r="H289" s="44"/>
      <c r="I289" s="217"/>
      <c r="J289" s="44"/>
    </row>
    <row r="290" ht="12.75" customHeight="1">
      <c r="A290" s="149" t="s">
        <v>168</v>
      </c>
      <c r="B290" s="43"/>
      <c r="C290" s="43"/>
      <c r="D290" s="44"/>
      <c r="E290" s="218"/>
      <c r="F290" s="44"/>
      <c r="G290" s="218"/>
      <c r="H290" s="44"/>
      <c r="I290" s="219"/>
      <c r="J290" s="44"/>
    </row>
    <row r="291" ht="12.75" customHeight="1">
      <c r="A291" s="220"/>
      <c r="B291" s="43"/>
      <c r="C291" s="43"/>
      <c r="D291" s="44"/>
      <c r="E291" s="215"/>
      <c r="F291" s="44"/>
      <c r="G291" s="216"/>
      <c r="H291" s="44"/>
      <c r="I291" s="216"/>
      <c r="J291" s="44"/>
    </row>
    <row r="292" ht="12.75" customHeight="1">
      <c r="A292" s="220"/>
      <c r="B292" s="43"/>
      <c r="C292" s="43"/>
      <c r="D292" s="44"/>
      <c r="E292" s="215"/>
      <c r="F292" s="44"/>
      <c r="G292" s="216"/>
      <c r="H292" s="44"/>
      <c r="I292" s="216"/>
      <c r="J292" s="44"/>
    </row>
    <row r="293" ht="12.75" customHeight="1">
      <c r="A293" s="220"/>
      <c r="B293" s="43"/>
      <c r="C293" s="43"/>
      <c r="D293" s="44"/>
      <c r="E293" s="215"/>
      <c r="F293" s="44"/>
      <c r="G293" s="216"/>
      <c r="H293" s="44"/>
      <c r="I293" s="216"/>
      <c r="J293" s="44"/>
    </row>
    <row r="294" ht="12.75" customHeight="1">
      <c r="A294" s="151" t="s">
        <v>169</v>
      </c>
      <c r="B294" s="43"/>
      <c r="C294" s="43"/>
      <c r="D294" s="44"/>
      <c r="E294" s="221">
        <f>SUM(E284:E293)</f>
        <v>0</v>
      </c>
      <c r="F294" s="44"/>
      <c r="G294" s="221">
        <f>SUM(G284:G293)</f>
        <v>0</v>
      </c>
      <c r="H294" s="44"/>
      <c r="I294" s="221">
        <f>SUM(I284:I293)</f>
        <v>0</v>
      </c>
      <c r="J294" s="44"/>
    </row>
    <row r="295" ht="12.75" customHeight="1">
      <c r="A295" s="222" t="s">
        <v>170</v>
      </c>
      <c r="B295" s="49"/>
      <c r="C295" s="49"/>
      <c r="D295" s="49"/>
      <c r="E295" s="49"/>
      <c r="F295" s="49"/>
      <c r="G295" s="49"/>
      <c r="H295" s="49"/>
      <c r="I295" s="49"/>
      <c r="J295" s="50"/>
    </row>
    <row r="296" ht="12.75" customHeight="1">
      <c r="A296" s="223" t="s">
        <v>171</v>
      </c>
      <c r="B296" s="56"/>
      <c r="C296" s="56"/>
      <c r="D296" s="56"/>
      <c r="E296" s="56"/>
      <c r="F296" s="56"/>
      <c r="G296" s="56"/>
      <c r="H296" s="56"/>
      <c r="I296" s="56"/>
      <c r="J296" s="57"/>
    </row>
    <row r="297" ht="12.75" customHeight="1">
      <c r="A297" s="223" t="s">
        <v>172</v>
      </c>
      <c r="B297" s="56"/>
      <c r="C297" s="56"/>
      <c r="D297" s="56"/>
      <c r="E297" s="56"/>
      <c r="F297" s="56"/>
      <c r="G297" s="56"/>
      <c r="H297" s="56"/>
      <c r="I297" s="56"/>
      <c r="J297" s="57"/>
    </row>
    <row r="298" ht="12.75" customHeight="1">
      <c r="A298" s="224" t="s">
        <v>173</v>
      </c>
      <c r="B298" s="207"/>
      <c r="C298" s="207"/>
      <c r="D298" s="207"/>
      <c r="E298" s="207"/>
      <c r="F298" s="207"/>
      <c r="G298" s="207"/>
      <c r="H298" s="207"/>
      <c r="I298" s="207"/>
      <c r="J298" s="208"/>
    </row>
    <row r="299" ht="12.75" customHeight="1">
      <c r="A299" s="237"/>
      <c r="B299" s="8"/>
      <c r="C299" s="8"/>
      <c r="D299" s="8"/>
      <c r="E299" s="8"/>
      <c r="F299" s="8"/>
      <c r="G299" s="8"/>
      <c r="H299" s="8"/>
      <c r="I299" s="8"/>
      <c r="J299" s="9"/>
    </row>
    <row r="300" ht="12.75" customHeight="1">
      <c r="A300" s="10"/>
      <c r="J300" s="31"/>
    </row>
    <row r="301" ht="12.75" customHeight="1">
      <c r="A301" s="10"/>
      <c r="J301" s="31"/>
    </row>
    <row r="302" ht="12.75" customHeight="1">
      <c r="A302" s="10"/>
      <c r="J302" s="31"/>
    </row>
    <row r="303" ht="12.75" customHeight="1">
      <c r="A303" s="10"/>
      <c r="J303" s="31"/>
    </row>
    <row r="304" ht="12.75" customHeight="1">
      <c r="A304" s="10"/>
      <c r="J304" s="31"/>
    </row>
    <row r="305" ht="12.75" customHeight="1">
      <c r="A305" s="10"/>
      <c r="J305" s="31"/>
    </row>
    <row r="306" ht="12.75" customHeight="1">
      <c r="A306" s="10"/>
      <c r="J306" s="31"/>
    </row>
    <row r="307" ht="12.75" customHeight="1">
      <c r="A307" s="10"/>
      <c r="J307" s="31"/>
    </row>
    <row r="308" ht="12.75" customHeight="1">
      <c r="A308" s="10"/>
      <c r="J308" s="31"/>
    </row>
    <row r="309" ht="12.75" customHeight="1">
      <c r="A309" s="10"/>
      <c r="J309" s="31"/>
    </row>
    <row r="310" ht="12.75" customHeight="1">
      <c r="A310" s="10"/>
      <c r="J310" s="31"/>
    </row>
    <row r="311" ht="12.75" customHeight="1">
      <c r="A311" s="10"/>
      <c r="J311" s="31"/>
    </row>
    <row r="312" ht="12.75" customHeight="1">
      <c r="A312" s="10"/>
      <c r="J312" s="31"/>
    </row>
    <row r="313" ht="12.75" customHeight="1">
      <c r="A313" s="10"/>
      <c r="J313" s="31"/>
    </row>
    <row r="314" ht="12.75" customHeight="1">
      <c r="A314" s="10"/>
      <c r="J314" s="31"/>
    </row>
    <row r="315" ht="12.75" customHeight="1">
      <c r="A315" s="10"/>
      <c r="J315" s="31"/>
    </row>
    <row r="316" ht="12.75" customHeight="1">
      <c r="A316" s="10"/>
      <c r="J316" s="31"/>
    </row>
    <row r="317" ht="12.75" customHeight="1">
      <c r="A317" s="10"/>
      <c r="J317" s="31"/>
    </row>
    <row r="318" ht="12.75" customHeight="1">
      <c r="A318" s="10"/>
      <c r="J318" s="31"/>
    </row>
    <row r="319" ht="12.75" customHeight="1">
      <c r="A319" s="10"/>
      <c r="J319" s="31"/>
    </row>
    <row r="320" ht="12.75" customHeight="1">
      <c r="A320" s="10"/>
      <c r="J320" s="31"/>
    </row>
    <row r="321" ht="12.75" customHeight="1">
      <c r="A321" s="10"/>
      <c r="J321" s="31"/>
    </row>
    <row r="322" ht="12.75" customHeight="1">
      <c r="A322" s="10"/>
      <c r="J322" s="31"/>
    </row>
    <row r="323" ht="12.75" customHeight="1">
      <c r="A323" s="10"/>
      <c r="J323" s="31"/>
    </row>
    <row r="324" ht="12.75" customHeight="1">
      <c r="A324" s="10"/>
      <c r="J324" s="31"/>
    </row>
    <row r="325" ht="12.75" customHeight="1">
      <c r="A325" s="10"/>
      <c r="J325" s="31"/>
    </row>
    <row r="326" ht="12.75" customHeight="1">
      <c r="A326" s="10"/>
      <c r="J326" s="31"/>
    </row>
    <row r="327" ht="12.75" customHeight="1">
      <c r="A327" s="10"/>
      <c r="J327" s="31"/>
    </row>
    <row r="328" ht="12.75" customHeight="1">
      <c r="A328" s="21"/>
      <c r="B328" s="53"/>
      <c r="C328" s="53"/>
      <c r="D328" s="53"/>
      <c r="E328" s="53"/>
      <c r="F328" s="53"/>
      <c r="G328" s="53"/>
      <c r="H328" s="53"/>
      <c r="I328" s="53"/>
      <c r="J328" s="54"/>
    </row>
    <row r="329" ht="12.75" customHeight="1">
      <c r="A329" s="202"/>
      <c r="B329" s="202"/>
      <c r="C329" s="202"/>
      <c r="D329" s="202"/>
      <c r="E329" s="202"/>
      <c r="F329" s="202"/>
      <c r="G329" s="202"/>
      <c r="H329" s="202"/>
      <c r="I329" s="202"/>
      <c r="J329" s="202"/>
    </row>
    <row r="330" ht="12.75" customHeight="1">
      <c r="A330" s="127" t="s">
        <v>80</v>
      </c>
      <c r="B330" s="43"/>
      <c r="C330" s="43"/>
      <c r="D330" s="43"/>
      <c r="E330" s="43"/>
      <c r="F330" s="43"/>
      <c r="G330" s="75"/>
      <c r="H330" s="128" t="str">
        <f>'CONTACT INFORMATION'!$A$24</f>
        <v>Amador</v>
      </c>
      <c r="I330" s="43"/>
      <c r="J330" s="44"/>
    </row>
    <row r="331" ht="12.75" customHeight="1">
      <c r="A331" s="129"/>
      <c r="B331" s="129"/>
      <c r="C331" s="129"/>
      <c r="D331" s="129"/>
      <c r="E331" s="129"/>
      <c r="F331" s="129"/>
      <c r="G331" s="129"/>
      <c r="H331" s="129"/>
      <c r="I331" s="129"/>
      <c r="J331" s="129"/>
    </row>
    <row r="332" ht="12.75" customHeight="1">
      <c r="A332" s="203" t="s">
        <v>221</v>
      </c>
      <c r="B332" s="43"/>
      <c r="C332" s="43"/>
      <c r="D332" s="43"/>
      <c r="E332" s="43"/>
      <c r="F332" s="43"/>
      <c r="G332" s="43"/>
      <c r="H332" s="43"/>
      <c r="I332" s="43"/>
      <c r="J332" s="44"/>
    </row>
    <row r="333" ht="12.75" customHeight="1">
      <c r="A333" s="204" t="s">
        <v>155</v>
      </c>
      <c r="B333" s="49"/>
      <c r="C333" s="49"/>
      <c r="D333" s="50"/>
      <c r="E333" s="231"/>
      <c r="F333" s="8"/>
      <c r="G333" s="8"/>
      <c r="H333" s="8"/>
      <c r="I333" s="8"/>
      <c r="J333" s="9"/>
    </row>
    <row r="334" ht="12.75" customHeight="1">
      <c r="A334" s="206" t="s">
        <v>184</v>
      </c>
      <c r="B334" s="207"/>
      <c r="C334" s="207"/>
      <c r="D334" s="208"/>
      <c r="E334" s="21"/>
      <c r="F334" s="53"/>
      <c r="G334" s="53"/>
      <c r="H334" s="53"/>
      <c r="I334" s="53"/>
      <c r="J334" s="54"/>
    </row>
    <row r="335" ht="12.75" customHeight="1">
      <c r="A335" s="209" t="s">
        <v>222</v>
      </c>
      <c r="B335" s="43"/>
      <c r="C335" s="43"/>
      <c r="D335" s="44"/>
      <c r="E335" s="150"/>
      <c r="F335" s="43"/>
      <c r="G335" s="43"/>
      <c r="H335" s="43"/>
      <c r="I335" s="43"/>
      <c r="J335" s="44"/>
    </row>
    <row r="336" ht="12.75" customHeight="1">
      <c r="A336" s="112"/>
      <c r="B336" s="114"/>
      <c r="C336" s="114"/>
      <c r="D336" s="114"/>
      <c r="E336" s="235" t="s">
        <v>159</v>
      </c>
      <c r="F336" s="43"/>
      <c r="G336" s="235" t="s">
        <v>160</v>
      </c>
      <c r="H336" s="43"/>
      <c r="I336" s="236" t="s">
        <v>161</v>
      </c>
      <c r="J336" s="44"/>
    </row>
    <row r="337" ht="12.75" customHeight="1">
      <c r="A337" s="149" t="s">
        <v>162</v>
      </c>
      <c r="B337" s="43"/>
      <c r="C337" s="43"/>
      <c r="D337" s="44"/>
      <c r="E337" s="212"/>
      <c r="F337" s="44"/>
      <c r="G337" s="212"/>
      <c r="H337" s="44"/>
      <c r="I337" s="213"/>
      <c r="J337" s="44"/>
    </row>
    <row r="338" ht="12.75" customHeight="1">
      <c r="A338" s="214" t="s">
        <v>163</v>
      </c>
      <c r="B338" s="43"/>
      <c r="C338" s="43"/>
      <c r="D338" s="44"/>
      <c r="E338" s="215"/>
      <c r="F338" s="44"/>
      <c r="G338" s="216"/>
      <c r="H338" s="44"/>
      <c r="I338" s="217"/>
      <c r="J338" s="44"/>
    </row>
    <row r="339" ht="12.75" customHeight="1">
      <c r="A339" s="149" t="s">
        <v>164</v>
      </c>
      <c r="B339" s="43"/>
      <c r="C339" s="43"/>
      <c r="D339" s="44"/>
      <c r="E339" s="212"/>
      <c r="F339" s="44"/>
      <c r="G339" s="212"/>
      <c r="H339" s="44"/>
      <c r="I339" s="213"/>
      <c r="J339" s="44"/>
    </row>
    <row r="340" ht="12.75" customHeight="1">
      <c r="A340" s="214" t="s">
        <v>165</v>
      </c>
      <c r="B340" s="43"/>
      <c r="C340" s="43"/>
      <c r="D340" s="44"/>
      <c r="E340" s="215"/>
      <c r="F340" s="44"/>
      <c r="G340" s="216"/>
      <c r="H340" s="44"/>
      <c r="I340" s="217"/>
      <c r="J340" s="44"/>
    </row>
    <row r="341" ht="12.75" customHeight="1">
      <c r="A341" s="149" t="s">
        <v>166</v>
      </c>
      <c r="B341" s="43"/>
      <c r="C341" s="43"/>
      <c r="D341" s="44"/>
      <c r="E341" s="212"/>
      <c r="F341" s="44"/>
      <c r="G341" s="212"/>
      <c r="H341" s="44"/>
      <c r="I341" s="213"/>
      <c r="J341" s="44"/>
    </row>
    <row r="342" ht="12.75" customHeight="1">
      <c r="A342" s="214" t="s">
        <v>167</v>
      </c>
      <c r="B342" s="43"/>
      <c r="C342" s="43"/>
      <c r="D342" s="44"/>
      <c r="E342" s="215"/>
      <c r="F342" s="44"/>
      <c r="G342" s="216"/>
      <c r="H342" s="44"/>
      <c r="I342" s="217"/>
      <c r="J342" s="44"/>
    </row>
    <row r="343" ht="12.75" customHeight="1">
      <c r="A343" s="149" t="s">
        <v>168</v>
      </c>
      <c r="B343" s="43"/>
      <c r="C343" s="43"/>
      <c r="D343" s="44"/>
      <c r="E343" s="218"/>
      <c r="F343" s="44"/>
      <c r="G343" s="218"/>
      <c r="H343" s="44"/>
      <c r="I343" s="219"/>
      <c r="J343" s="44"/>
    </row>
    <row r="344" ht="12.75" customHeight="1">
      <c r="A344" s="220"/>
      <c r="B344" s="43"/>
      <c r="C344" s="43"/>
      <c r="D344" s="44"/>
      <c r="E344" s="215"/>
      <c r="F344" s="44"/>
      <c r="G344" s="216"/>
      <c r="H344" s="44"/>
      <c r="I344" s="216"/>
      <c r="J344" s="44"/>
    </row>
    <row r="345" ht="12.75" customHeight="1">
      <c r="A345" s="220"/>
      <c r="B345" s="43"/>
      <c r="C345" s="43"/>
      <c r="D345" s="44"/>
      <c r="E345" s="215"/>
      <c r="F345" s="44"/>
      <c r="G345" s="216"/>
      <c r="H345" s="44"/>
      <c r="I345" s="216"/>
      <c r="J345" s="44"/>
    </row>
    <row r="346" ht="12.75" customHeight="1">
      <c r="A346" s="220"/>
      <c r="B346" s="43"/>
      <c r="C346" s="43"/>
      <c r="D346" s="44"/>
      <c r="E346" s="215"/>
      <c r="F346" s="44"/>
      <c r="G346" s="216"/>
      <c r="H346" s="44"/>
      <c r="I346" s="216"/>
      <c r="J346" s="44"/>
    </row>
    <row r="347" ht="12.75" customHeight="1">
      <c r="A347" s="151" t="s">
        <v>169</v>
      </c>
      <c r="B347" s="43"/>
      <c r="C347" s="43"/>
      <c r="D347" s="44"/>
      <c r="E347" s="221">
        <f>SUM(E337:E346)</f>
        <v>0</v>
      </c>
      <c r="F347" s="44"/>
      <c r="G347" s="221">
        <f>SUM(G337:G346)</f>
        <v>0</v>
      </c>
      <c r="H347" s="44"/>
      <c r="I347" s="221">
        <f>SUM(I337:I346)</f>
        <v>0</v>
      </c>
      <c r="J347" s="44"/>
    </row>
    <row r="348" ht="12.75" customHeight="1">
      <c r="A348" s="222" t="s">
        <v>170</v>
      </c>
      <c r="B348" s="49"/>
      <c r="C348" s="49"/>
      <c r="D348" s="49"/>
      <c r="E348" s="49"/>
      <c r="F348" s="49"/>
      <c r="G348" s="49"/>
      <c r="H348" s="49"/>
      <c r="I348" s="49"/>
      <c r="J348" s="50"/>
    </row>
    <row r="349" ht="12.75" customHeight="1">
      <c r="A349" s="223" t="s">
        <v>171</v>
      </c>
      <c r="B349" s="56"/>
      <c r="C349" s="56"/>
      <c r="D349" s="56"/>
      <c r="E349" s="56"/>
      <c r="F349" s="56"/>
      <c r="G349" s="56"/>
      <c r="H349" s="56"/>
      <c r="I349" s="56"/>
      <c r="J349" s="57"/>
    </row>
    <row r="350" ht="12.75" customHeight="1">
      <c r="A350" s="223" t="s">
        <v>172</v>
      </c>
      <c r="B350" s="56"/>
      <c r="C350" s="56"/>
      <c r="D350" s="56"/>
      <c r="E350" s="56"/>
      <c r="F350" s="56"/>
      <c r="G350" s="56"/>
      <c r="H350" s="56"/>
      <c r="I350" s="56"/>
      <c r="J350" s="57"/>
    </row>
    <row r="351" ht="12.75" customHeight="1">
      <c r="A351" s="224" t="s">
        <v>173</v>
      </c>
      <c r="B351" s="207"/>
      <c r="C351" s="207"/>
      <c r="D351" s="207"/>
      <c r="E351" s="207"/>
      <c r="F351" s="207"/>
      <c r="G351" s="207"/>
      <c r="H351" s="207"/>
      <c r="I351" s="207"/>
      <c r="J351" s="208"/>
    </row>
    <row r="352" ht="12.75" customHeight="1">
      <c r="A352" s="237"/>
      <c r="B352" s="8"/>
      <c r="C352" s="8"/>
      <c r="D352" s="8"/>
      <c r="E352" s="8"/>
      <c r="F352" s="8"/>
      <c r="G352" s="8"/>
      <c r="H352" s="8"/>
      <c r="I352" s="8"/>
      <c r="J352" s="9"/>
    </row>
    <row r="353" ht="12.75" customHeight="1">
      <c r="A353" s="10"/>
      <c r="J353" s="31"/>
    </row>
    <row r="354" ht="12.75" customHeight="1">
      <c r="A354" s="10"/>
      <c r="J354" s="31"/>
    </row>
    <row r="355" ht="12.75" customHeight="1">
      <c r="A355" s="10"/>
      <c r="J355" s="31"/>
    </row>
    <row r="356" ht="12.75" customHeight="1">
      <c r="A356" s="10"/>
      <c r="J356" s="31"/>
    </row>
    <row r="357" ht="12.75" customHeight="1">
      <c r="A357" s="10"/>
      <c r="J357" s="31"/>
    </row>
    <row r="358" ht="12.75" customHeight="1">
      <c r="A358" s="10"/>
      <c r="J358" s="31"/>
    </row>
    <row r="359" ht="12.75" customHeight="1">
      <c r="A359" s="10"/>
      <c r="J359" s="31"/>
    </row>
    <row r="360" ht="12.75" customHeight="1">
      <c r="A360" s="10"/>
      <c r="J360" s="31"/>
    </row>
    <row r="361" ht="12.75" customHeight="1">
      <c r="A361" s="10"/>
      <c r="J361" s="31"/>
    </row>
    <row r="362" ht="12.75" customHeight="1">
      <c r="A362" s="10"/>
      <c r="J362" s="31"/>
    </row>
    <row r="363" ht="12.75" customHeight="1">
      <c r="A363" s="10"/>
      <c r="J363" s="31"/>
    </row>
    <row r="364" ht="12.75" customHeight="1">
      <c r="A364" s="10"/>
      <c r="J364" s="31"/>
    </row>
    <row r="365" ht="12.75" customHeight="1">
      <c r="A365" s="10"/>
      <c r="J365" s="31"/>
    </row>
    <row r="366" ht="12.75" customHeight="1">
      <c r="A366" s="10"/>
      <c r="J366" s="31"/>
    </row>
    <row r="367" ht="12.75" customHeight="1">
      <c r="A367" s="10"/>
      <c r="J367" s="31"/>
    </row>
    <row r="368" ht="12.75" customHeight="1">
      <c r="A368" s="10"/>
      <c r="J368" s="31"/>
    </row>
    <row r="369" ht="12.75" customHeight="1">
      <c r="A369" s="10"/>
      <c r="J369" s="31"/>
    </row>
    <row r="370" ht="12.75" customHeight="1">
      <c r="A370" s="10"/>
      <c r="J370" s="31"/>
    </row>
    <row r="371" ht="12.75" customHeight="1">
      <c r="A371" s="10"/>
      <c r="J371" s="31"/>
    </row>
    <row r="372" ht="12.75" customHeight="1">
      <c r="A372" s="10"/>
      <c r="J372" s="31"/>
    </row>
    <row r="373" ht="12.75" customHeight="1">
      <c r="A373" s="10"/>
      <c r="J373" s="31"/>
    </row>
    <row r="374" ht="12.75" customHeight="1">
      <c r="A374" s="10"/>
      <c r="J374" s="31"/>
    </row>
    <row r="375" ht="12.75" customHeight="1">
      <c r="A375" s="10"/>
      <c r="J375" s="31"/>
    </row>
    <row r="376" ht="12.75" customHeight="1">
      <c r="A376" s="10"/>
      <c r="J376" s="31"/>
    </row>
    <row r="377" ht="12.75" customHeight="1">
      <c r="A377" s="10"/>
      <c r="J377" s="31"/>
    </row>
    <row r="378" ht="12.75" customHeight="1">
      <c r="A378" s="10"/>
      <c r="J378" s="31"/>
    </row>
    <row r="379" ht="12.75" customHeight="1">
      <c r="A379" s="10"/>
      <c r="J379" s="31"/>
    </row>
    <row r="380" ht="12.75" customHeight="1">
      <c r="A380" s="10"/>
      <c r="J380" s="31"/>
    </row>
    <row r="381" ht="12.75" customHeight="1">
      <c r="A381" s="10"/>
      <c r="J381" s="31"/>
    </row>
    <row r="382" ht="12.75" customHeight="1">
      <c r="A382" s="21"/>
      <c r="B382" s="53"/>
      <c r="C382" s="53"/>
      <c r="D382" s="53"/>
      <c r="E382" s="53"/>
      <c r="F382" s="53"/>
      <c r="G382" s="53"/>
      <c r="H382" s="53"/>
      <c r="I382" s="53"/>
      <c r="J382" s="54"/>
    </row>
    <row r="383" ht="12.75" customHeight="1">
      <c r="A383" s="198"/>
      <c r="B383" s="198"/>
      <c r="C383" s="198"/>
      <c r="D383" s="198"/>
      <c r="E383" s="198"/>
      <c r="F383" s="198"/>
      <c r="G383" s="198"/>
      <c r="H383" s="198"/>
      <c r="I383" s="198"/>
      <c r="J383" s="198"/>
    </row>
    <row r="384" ht="12.75" customHeight="1">
      <c r="A384" s="127" t="s">
        <v>80</v>
      </c>
      <c r="B384" s="43"/>
      <c r="C384" s="43"/>
      <c r="D384" s="43"/>
      <c r="E384" s="43"/>
      <c r="F384" s="43"/>
      <c r="G384" s="75"/>
      <c r="H384" s="128" t="str">
        <f>'CONTACT INFORMATION'!$A$24</f>
        <v>Amador</v>
      </c>
      <c r="I384" s="43"/>
      <c r="J384" s="44"/>
    </row>
    <row r="385" ht="12.75" customHeight="1">
      <c r="A385" s="129"/>
      <c r="B385" s="129"/>
      <c r="C385" s="129"/>
      <c r="D385" s="129"/>
      <c r="E385" s="129"/>
      <c r="F385" s="129"/>
      <c r="G385" s="129"/>
      <c r="H385" s="129"/>
      <c r="I385" s="129"/>
      <c r="J385" s="129"/>
    </row>
    <row r="386" ht="12.75" customHeight="1">
      <c r="A386" s="203" t="s">
        <v>223</v>
      </c>
      <c r="B386" s="43"/>
      <c r="C386" s="43"/>
      <c r="D386" s="43"/>
      <c r="E386" s="43"/>
      <c r="F386" s="43"/>
      <c r="G386" s="43"/>
      <c r="H386" s="43"/>
      <c r="I386" s="43"/>
      <c r="J386" s="44"/>
    </row>
    <row r="387" ht="12.75" customHeight="1">
      <c r="A387" s="204" t="s">
        <v>155</v>
      </c>
      <c r="B387" s="49"/>
      <c r="C387" s="49"/>
      <c r="D387" s="50"/>
      <c r="E387" s="231"/>
      <c r="F387" s="8"/>
      <c r="G387" s="8"/>
      <c r="H387" s="8"/>
      <c r="I387" s="8"/>
      <c r="J387" s="9"/>
    </row>
    <row r="388" ht="12.75" customHeight="1">
      <c r="A388" s="206" t="s">
        <v>184</v>
      </c>
      <c r="B388" s="207"/>
      <c r="C388" s="207"/>
      <c r="D388" s="208"/>
      <c r="E388" s="21"/>
      <c r="F388" s="53"/>
      <c r="G388" s="53"/>
      <c r="H388" s="53"/>
      <c r="I388" s="53"/>
      <c r="J388" s="54"/>
    </row>
    <row r="389" ht="12.75" customHeight="1">
      <c r="A389" s="209" t="s">
        <v>224</v>
      </c>
      <c r="B389" s="43"/>
      <c r="C389" s="43"/>
      <c r="D389" s="44"/>
      <c r="E389" s="150"/>
      <c r="F389" s="43"/>
      <c r="G389" s="43"/>
      <c r="H389" s="43"/>
      <c r="I389" s="43"/>
      <c r="J389" s="44"/>
    </row>
    <row r="390" ht="12.75" customHeight="1">
      <c r="A390" s="112"/>
      <c r="B390" s="114"/>
      <c r="C390" s="114"/>
      <c r="D390" s="114"/>
      <c r="E390" s="235" t="s">
        <v>159</v>
      </c>
      <c r="F390" s="43"/>
      <c r="G390" s="235" t="s">
        <v>160</v>
      </c>
      <c r="H390" s="43"/>
      <c r="I390" s="236" t="s">
        <v>161</v>
      </c>
      <c r="J390" s="44"/>
    </row>
    <row r="391" ht="12.75" customHeight="1">
      <c r="A391" s="149" t="s">
        <v>162</v>
      </c>
      <c r="B391" s="43"/>
      <c r="C391" s="43"/>
      <c r="D391" s="44"/>
      <c r="E391" s="212"/>
      <c r="F391" s="44"/>
      <c r="G391" s="212"/>
      <c r="H391" s="44"/>
      <c r="I391" s="213"/>
      <c r="J391" s="44"/>
    </row>
    <row r="392" ht="12.75" customHeight="1">
      <c r="A392" s="214" t="s">
        <v>163</v>
      </c>
      <c r="B392" s="43"/>
      <c r="C392" s="43"/>
      <c r="D392" s="44"/>
      <c r="E392" s="215"/>
      <c r="F392" s="44"/>
      <c r="G392" s="216"/>
      <c r="H392" s="44"/>
      <c r="I392" s="217"/>
      <c r="J392" s="44"/>
    </row>
    <row r="393" ht="12.75" customHeight="1">
      <c r="A393" s="149" t="s">
        <v>164</v>
      </c>
      <c r="B393" s="43"/>
      <c r="C393" s="43"/>
      <c r="D393" s="44"/>
      <c r="E393" s="212"/>
      <c r="F393" s="44"/>
      <c r="G393" s="212"/>
      <c r="H393" s="44"/>
      <c r="I393" s="213"/>
      <c r="J393" s="44"/>
    </row>
    <row r="394" ht="12.75" customHeight="1">
      <c r="A394" s="214" t="s">
        <v>165</v>
      </c>
      <c r="B394" s="43"/>
      <c r="C394" s="43"/>
      <c r="D394" s="44"/>
      <c r="E394" s="215"/>
      <c r="F394" s="44"/>
      <c r="G394" s="216"/>
      <c r="H394" s="44"/>
      <c r="I394" s="217"/>
      <c r="J394" s="44"/>
    </row>
    <row r="395" ht="12.75" customHeight="1">
      <c r="A395" s="149" t="s">
        <v>166</v>
      </c>
      <c r="B395" s="43"/>
      <c r="C395" s="43"/>
      <c r="D395" s="44"/>
      <c r="E395" s="212"/>
      <c r="F395" s="44"/>
      <c r="G395" s="212"/>
      <c r="H395" s="44"/>
      <c r="I395" s="213"/>
      <c r="J395" s="44"/>
    </row>
    <row r="396" ht="12.75" customHeight="1">
      <c r="A396" s="214" t="s">
        <v>167</v>
      </c>
      <c r="B396" s="43"/>
      <c r="C396" s="43"/>
      <c r="D396" s="44"/>
      <c r="E396" s="215"/>
      <c r="F396" s="44"/>
      <c r="G396" s="216"/>
      <c r="H396" s="44"/>
      <c r="I396" s="217"/>
      <c r="J396" s="44"/>
    </row>
    <row r="397" ht="12.75" customHeight="1">
      <c r="A397" s="149" t="s">
        <v>168</v>
      </c>
      <c r="B397" s="43"/>
      <c r="C397" s="43"/>
      <c r="D397" s="44"/>
      <c r="E397" s="218"/>
      <c r="F397" s="44"/>
      <c r="G397" s="218"/>
      <c r="H397" s="44"/>
      <c r="I397" s="219"/>
      <c r="J397" s="44"/>
    </row>
    <row r="398" ht="12.75" customHeight="1">
      <c r="A398" s="220"/>
      <c r="B398" s="43"/>
      <c r="C398" s="43"/>
      <c r="D398" s="44"/>
      <c r="E398" s="215"/>
      <c r="F398" s="44"/>
      <c r="G398" s="216"/>
      <c r="H398" s="44"/>
      <c r="I398" s="216"/>
      <c r="J398" s="44"/>
    </row>
    <row r="399" ht="12.75" customHeight="1">
      <c r="A399" s="220"/>
      <c r="B399" s="43"/>
      <c r="C399" s="43"/>
      <c r="D399" s="44"/>
      <c r="E399" s="215"/>
      <c r="F399" s="44"/>
      <c r="G399" s="216"/>
      <c r="H399" s="44"/>
      <c r="I399" s="216"/>
      <c r="J399" s="44"/>
    </row>
    <row r="400" ht="12.75" customHeight="1">
      <c r="A400" s="220"/>
      <c r="B400" s="43"/>
      <c r="C400" s="43"/>
      <c r="D400" s="44"/>
      <c r="E400" s="215"/>
      <c r="F400" s="44"/>
      <c r="G400" s="216"/>
      <c r="H400" s="44"/>
      <c r="I400" s="216"/>
      <c r="J400" s="44"/>
    </row>
    <row r="401" ht="12.75" customHeight="1">
      <c r="A401" s="151" t="s">
        <v>169</v>
      </c>
      <c r="B401" s="43"/>
      <c r="C401" s="43"/>
      <c r="D401" s="44"/>
      <c r="E401" s="221">
        <f>SUM(E391:E400)</f>
        <v>0</v>
      </c>
      <c r="F401" s="44"/>
      <c r="G401" s="221">
        <f>SUM(G391:G400)</f>
        <v>0</v>
      </c>
      <c r="H401" s="44"/>
      <c r="I401" s="221">
        <f>SUM(I391:I400)</f>
        <v>0</v>
      </c>
      <c r="J401" s="44"/>
    </row>
    <row r="402" ht="12.75" customHeight="1">
      <c r="A402" s="222" t="s">
        <v>170</v>
      </c>
      <c r="B402" s="49"/>
      <c r="C402" s="49"/>
      <c r="D402" s="49"/>
      <c r="E402" s="49"/>
      <c r="F402" s="49"/>
      <c r="G402" s="49"/>
      <c r="H402" s="49"/>
      <c r="I402" s="49"/>
      <c r="J402" s="50"/>
    </row>
    <row r="403" ht="12.75" customHeight="1">
      <c r="A403" s="223" t="s">
        <v>171</v>
      </c>
      <c r="B403" s="56"/>
      <c r="C403" s="56"/>
      <c r="D403" s="56"/>
      <c r="E403" s="56"/>
      <c r="F403" s="56"/>
      <c r="G403" s="56"/>
      <c r="H403" s="56"/>
      <c r="I403" s="56"/>
      <c r="J403" s="57"/>
    </row>
    <row r="404" ht="12.75" customHeight="1">
      <c r="A404" s="223" t="s">
        <v>172</v>
      </c>
      <c r="B404" s="56"/>
      <c r="C404" s="56"/>
      <c r="D404" s="56"/>
      <c r="E404" s="56"/>
      <c r="F404" s="56"/>
      <c r="G404" s="56"/>
      <c r="H404" s="56"/>
      <c r="I404" s="56"/>
      <c r="J404" s="57"/>
    </row>
    <row r="405" ht="12.75" customHeight="1">
      <c r="A405" s="224" t="s">
        <v>173</v>
      </c>
      <c r="B405" s="207"/>
      <c r="C405" s="207"/>
      <c r="D405" s="207"/>
      <c r="E405" s="207"/>
      <c r="F405" s="207"/>
      <c r="G405" s="207"/>
      <c r="H405" s="207"/>
      <c r="I405" s="207"/>
      <c r="J405" s="208"/>
    </row>
    <row r="406" ht="12.75" customHeight="1">
      <c r="A406" s="237"/>
      <c r="B406" s="8"/>
      <c r="C406" s="8"/>
      <c r="D406" s="8"/>
      <c r="E406" s="8"/>
      <c r="F406" s="8"/>
      <c r="G406" s="8"/>
      <c r="H406" s="8"/>
      <c r="I406" s="8"/>
      <c r="J406" s="9"/>
    </row>
    <row r="407" ht="12.75" customHeight="1">
      <c r="A407" s="10"/>
      <c r="J407" s="31"/>
    </row>
    <row r="408" ht="12.75" customHeight="1">
      <c r="A408" s="10"/>
      <c r="J408" s="31"/>
    </row>
    <row r="409" ht="12.75" customHeight="1">
      <c r="A409" s="10"/>
      <c r="J409" s="31"/>
    </row>
    <row r="410" ht="12.75" customHeight="1">
      <c r="A410" s="10"/>
      <c r="J410" s="31"/>
    </row>
    <row r="411" ht="12.75" customHeight="1">
      <c r="A411" s="10"/>
      <c r="J411" s="31"/>
    </row>
    <row r="412" ht="12.75" customHeight="1">
      <c r="A412" s="10"/>
      <c r="J412" s="31"/>
    </row>
    <row r="413" ht="12.75" customHeight="1">
      <c r="A413" s="10"/>
      <c r="J413" s="31"/>
    </row>
    <row r="414" ht="12.75" customHeight="1">
      <c r="A414" s="10"/>
      <c r="J414" s="31"/>
    </row>
    <row r="415" ht="12.75" customHeight="1">
      <c r="A415" s="10"/>
      <c r="J415" s="31"/>
    </row>
    <row r="416" ht="12.75" customHeight="1">
      <c r="A416" s="10"/>
      <c r="J416" s="31"/>
    </row>
    <row r="417" ht="12.75" customHeight="1">
      <c r="A417" s="10"/>
      <c r="J417" s="31"/>
    </row>
    <row r="418" ht="12.75" customHeight="1">
      <c r="A418" s="10"/>
      <c r="J418" s="31"/>
    </row>
    <row r="419" ht="12.75" customHeight="1">
      <c r="A419" s="10"/>
      <c r="J419" s="31"/>
    </row>
    <row r="420" ht="12.75" customHeight="1">
      <c r="A420" s="10"/>
      <c r="J420" s="31"/>
    </row>
    <row r="421" ht="12.75" customHeight="1">
      <c r="A421" s="10"/>
      <c r="J421" s="31"/>
    </row>
    <row r="422" ht="12.75" customHeight="1">
      <c r="A422" s="10"/>
      <c r="J422" s="31"/>
    </row>
    <row r="423" ht="12.75" customHeight="1">
      <c r="A423" s="10"/>
      <c r="J423" s="31"/>
    </row>
    <row r="424" ht="12.75" customHeight="1">
      <c r="A424" s="10"/>
      <c r="J424" s="31"/>
    </row>
    <row r="425" ht="12.75" customHeight="1">
      <c r="A425" s="10"/>
      <c r="J425" s="31"/>
    </row>
    <row r="426" ht="12.75" customHeight="1">
      <c r="A426" s="10"/>
      <c r="J426" s="31"/>
    </row>
    <row r="427" ht="12.75" customHeight="1">
      <c r="A427" s="10"/>
      <c r="J427" s="31"/>
    </row>
    <row r="428" ht="12.75" customHeight="1">
      <c r="A428" s="10"/>
      <c r="J428" s="31"/>
    </row>
    <row r="429" ht="12.75" customHeight="1">
      <c r="A429" s="10"/>
      <c r="J429" s="31"/>
    </row>
    <row r="430" ht="12.75" customHeight="1">
      <c r="A430" s="10"/>
      <c r="J430" s="31"/>
    </row>
    <row r="431" ht="12.75" customHeight="1">
      <c r="A431" s="10"/>
      <c r="J431" s="31"/>
    </row>
    <row r="432" ht="12.75" customHeight="1">
      <c r="A432" s="10"/>
      <c r="J432" s="31"/>
    </row>
    <row r="433" ht="12.75" customHeight="1">
      <c r="A433" s="10"/>
      <c r="J433" s="31"/>
    </row>
    <row r="434" ht="12.75" customHeight="1">
      <c r="A434" s="10"/>
      <c r="J434" s="31"/>
    </row>
    <row r="435" ht="12.75" customHeight="1">
      <c r="A435" s="10"/>
      <c r="J435" s="31"/>
    </row>
    <row r="436" ht="12.75" customHeight="1">
      <c r="A436" s="21"/>
      <c r="B436" s="53"/>
      <c r="C436" s="53"/>
      <c r="D436" s="53"/>
      <c r="E436" s="53"/>
      <c r="F436" s="53"/>
      <c r="G436" s="53"/>
      <c r="H436" s="53"/>
      <c r="I436" s="53"/>
      <c r="J436" s="54"/>
    </row>
    <row r="437" ht="12.75" customHeight="1">
      <c r="A437" s="226"/>
      <c r="B437" s="226"/>
      <c r="C437" s="226"/>
      <c r="D437" s="226"/>
      <c r="E437" s="226"/>
      <c r="F437" s="226"/>
      <c r="G437" s="226"/>
      <c r="H437" s="226"/>
      <c r="I437" s="226"/>
      <c r="J437" s="226"/>
    </row>
    <row r="438" ht="12.75" customHeight="1">
      <c r="A438" s="127" t="s">
        <v>80</v>
      </c>
      <c r="B438" s="43"/>
      <c r="C438" s="43"/>
      <c r="D438" s="43"/>
      <c r="E438" s="43"/>
      <c r="F438" s="43"/>
      <c r="G438" s="75"/>
      <c r="H438" s="128" t="str">
        <f>'CONTACT INFORMATION'!$A$24</f>
        <v>Amador</v>
      </c>
      <c r="I438" s="43"/>
      <c r="J438" s="44"/>
    </row>
    <row r="439" ht="12.75" customHeight="1">
      <c r="A439" s="129"/>
      <c r="B439" s="129"/>
      <c r="C439" s="129"/>
      <c r="D439" s="129"/>
      <c r="E439" s="129"/>
      <c r="F439" s="129"/>
      <c r="G439" s="129"/>
      <c r="H439" s="129"/>
      <c r="I439" s="129"/>
      <c r="J439" s="129"/>
    </row>
    <row r="440" ht="12.75" customHeight="1">
      <c r="A440" s="203" t="s">
        <v>225</v>
      </c>
      <c r="B440" s="43"/>
      <c r="C440" s="43"/>
      <c r="D440" s="43"/>
      <c r="E440" s="43"/>
      <c r="F440" s="43"/>
      <c r="G440" s="43"/>
      <c r="H440" s="43"/>
      <c r="I440" s="43"/>
      <c r="J440" s="44"/>
    </row>
    <row r="441" ht="12.75" customHeight="1">
      <c r="A441" s="204" t="s">
        <v>155</v>
      </c>
      <c r="B441" s="49"/>
      <c r="C441" s="49"/>
      <c r="D441" s="50"/>
      <c r="E441" s="231"/>
      <c r="F441" s="8"/>
      <c r="G441" s="8"/>
      <c r="H441" s="8"/>
      <c r="I441" s="8"/>
      <c r="J441" s="9"/>
    </row>
    <row r="442" ht="12.75" customHeight="1">
      <c r="A442" s="206" t="s">
        <v>184</v>
      </c>
      <c r="B442" s="207"/>
      <c r="C442" s="207"/>
      <c r="D442" s="208"/>
      <c r="E442" s="21"/>
      <c r="F442" s="53"/>
      <c r="G442" s="53"/>
      <c r="H442" s="53"/>
      <c r="I442" s="53"/>
      <c r="J442" s="54"/>
    </row>
    <row r="443" ht="12.75" customHeight="1">
      <c r="A443" s="209" t="s">
        <v>226</v>
      </c>
      <c r="B443" s="43"/>
      <c r="C443" s="43"/>
      <c r="D443" s="44"/>
      <c r="E443" s="150"/>
      <c r="F443" s="43"/>
      <c r="G443" s="43"/>
      <c r="H443" s="43"/>
      <c r="I443" s="43"/>
      <c r="J443" s="44"/>
    </row>
    <row r="444" ht="12.75" customHeight="1">
      <c r="A444" s="112"/>
      <c r="B444" s="114"/>
      <c r="C444" s="114"/>
      <c r="D444" s="114"/>
      <c r="E444" s="235" t="s">
        <v>159</v>
      </c>
      <c r="F444" s="43"/>
      <c r="G444" s="235" t="s">
        <v>160</v>
      </c>
      <c r="H444" s="43"/>
      <c r="I444" s="236" t="s">
        <v>161</v>
      </c>
      <c r="J444" s="44"/>
    </row>
    <row r="445" ht="12.75" customHeight="1">
      <c r="A445" s="149" t="s">
        <v>162</v>
      </c>
      <c r="B445" s="43"/>
      <c r="C445" s="43"/>
      <c r="D445" s="44"/>
      <c r="E445" s="212"/>
      <c r="F445" s="44"/>
      <c r="G445" s="212"/>
      <c r="H445" s="44"/>
      <c r="I445" s="213"/>
      <c r="J445" s="44"/>
    </row>
    <row r="446" ht="12.75" customHeight="1">
      <c r="A446" s="214" t="s">
        <v>163</v>
      </c>
      <c r="B446" s="43"/>
      <c r="C446" s="43"/>
      <c r="D446" s="44"/>
      <c r="E446" s="215"/>
      <c r="F446" s="44"/>
      <c r="G446" s="216"/>
      <c r="H446" s="44"/>
      <c r="I446" s="217"/>
      <c r="J446" s="44"/>
    </row>
    <row r="447" ht="12.75" customHeight="1">
      <c r="A447" s="149" t="s">
        <v>164</v>
      </c>
      <c r="B447" s="43"/>
      <c r="C447" s="43"/>
      <c r="D447" s="44"/>
      <c r="E447" s="212"/>
      <c r="F447" s="44"/>
      <c r="G447" s="212"/>
      <c r="H447" s="44"/>
      <c r="I447" s="213"/>
      <c r="J447" s="44"/>
    </row>
    <row r="448" ht="12.75" customHeight="1">
      <c r="A448" s="214" t="s">
        <v>165</v>
      </c>
      <c r="B448" s="43"/>
      <c r="C448" s="43"/>
      <c r="D448" s="44"/>
      <c r="E448" s="215"/>
      <c r="F448" s="44"/>
      <c r="G448" s="216"/>
      <c r="H448" s="44"/>
      <c r="I448" s="217"/>
      <c r="J448" s="44"/>
    </row>
    <row r="449" ht="12.75" customHeight="1">
      <c r="A449" s="149" t="s">
        <v>166</v>
      </c>
      <c r="B449" s="43"/>
      <c r="C449" s="43"/>
      <c r="D449" s="44"/>
      <c r="E449" s="212"/>
      <c r="F449" s="44"/>
      <c r="G449" s="212"/>
      <c r="H449" s="44"/>
      <c r="I449" s="213"/>
      <c r="J449" s="44"/>
    </row>
    <row r="450" ht="12.75" customHeight="1">
      <c r="A450" s="214" t="s">
        <v>167</v>
      </c>
      <c r="B450" s="43"/>
      <c r="C450" s="43"/>
      <c r="D450" s="44"/>
      <c r="E450" s="215"/>
      <c r="F450" s="44"/>
      <c r="G450" s="216"/>
      <c r="H450" s="44"/>
      <c r="I450" s="217"/>
      <c r="J450" s="44"/>
    </row>
    <row r="451" ht="12.75" customHeight="1">
      <c r="A451" s="149" t="s">
        <v>168</v>
      </c>
      <c r="B451" s="43"/>
      <c r="C451" s="43"/>
      <c r="D451" s="44"/>
      <c r="E451" s="218"/>
      <c r="F451" s="44"/>
      <c r="G451" s="218"/>
      <c r="H451" s="44"/>
      <c r="I451" s="219"/>
      <c r="J451" s="44"/>
    </row>
    <row r="452" ht="12.75" customHeight="1">
      <c r="A452" s="220"/>
      <c r="B452" s="43"/>
      <c r="C452" s="43"/>
      <c r="D452" s="44"/>
      <c r="E452" s="215"/>
      <c r="F452" s="44"/>
      <c r="G452" s="216"/>
      <c r="H452" s="44"/>
      <c r="I452" s="216"/>
      <c r="J452" s="44"/>
    </row>
    <row r="453" ht="12.75" customHeight="1">
      <c r="A453" s="220"/>
      <c r="B453" s="43"/>
      <c r="C453" s="43"/>
      <c r="D453" s="44"/>
      <c r="E453" s="215"/>
      <c r="F453" s="44"/>
      <c r="G453" s="216"/>
      <c r="H453" s="44"/>
      <c r="I453" s="216"/>
      <c r="J453" s="44"/>
    </row>
    <row r="454" ht="12.75" customHeight="1">
      <c r="A454" s="220"/>
      <c r="B454" s="43"/>
      <c r="C454" s="43"/>
      <c r="D454" s="44"/>
      <c r="E454" s="215"/>
      <c r="F454" s="44"/>
      <c r="G454" s="216"/>
      <c r="H454" s="44"/>
      <c r="I454" s="216"/>
      <c r="J454" s="44"/>
    </row>
    <row r="455" ht="12.75" customHeight="1">
      <c r="A455" s="151" t="s">
        <v>169</v>
      </c>
      <c r="B455" s="43"/>
      <c r="C455" s="43"/>
      <c r="D455" s="44"/>
      <c r="E455" s="221">
        <f>SUM(E445:E454)</f>
        <v>0</v>
      </c>
      <c r="F455" s="44"/>
      <c r="G455" s="221">
        <f>SUM(G445:G454)</f>
        <v>0</v>
      </c>
      <c r="H455" s="44"/>
      <c r="I455" s="221">
        <f>SUM(I445:I454)</f>
        <v>0</v>
      </c>
      <c r="J455" s="44"/>
    </row>
    <row r="456" ht="12.75" customHeight="1">
      <c r="A456" s="222" t="s">
        <v>170</v>
      </c>
      <c r="B456" s="49"/>
      <c r="C456" s="49"/>
      <c r="D456" s="49"/>
      <c r="E456" s="49"/>
      <c r="F456" s="49"/>
      <c r="G456" s="49"/>
      <c r="H456" s="49"/>
      <c r="I456" s="49"/>
      <c r="J456" s="50"/>
    </row>
    <row r="457" ht="12.75" customHeight="1">
      <c r="A457" s="223" t="s">
        <v>171</v>
      </c>
      <c r="B457" s="56"/>
      <c r="C457" s="56"/>
      <c r="D457" s="56"/>
      <c r="E457" s="56"/>
      <c r="F457" s="56"/>
      <c r="G457" s="56"/>
      <c r="H457" s="56"/>
      <c r="I457" s="56"/>
      <c r="J457" s="57"/>
    </row>
    <row r="458" ht="12.75" customHeight="1">
      <c r="A458" s="223" t="s">
        <v>172</v>
      </c>
      <c r="B458" s="56"/>
      <c r="C458" s="56"/>
      <c r="D458" s="56"/>
      <c r="E458" s="56"/>
      <c r="F458" s="56"/>
      <c r="G458" s="56"/>
      <c r="H458" s="56"/>
      <c r="I458" s="56"/>
      <c r="J458" s="57"/>
    </row>
    <row r="459" ht="12.75" customHeight="1">
      <c r="A459" s="224" t="s">
        <v>173</v>
      </c>
      <c r="B459" s="207"/>
      <c r="C459" s="207"/>
      <c r="D459" s="207"/>
      <c r="E459" s="207"/>
      <c r="F459" s="207"/>
      <c r="G459" s="207"/>
      <c r="H459" s="207"/>
      <c r="I459" s="207"/>
      <c r="J459" s="208"/>
    </row>
    <row r="460" ht="12.75" customHeight="1">
      <c r="A460" s="237"/>
      <c r="B460" s="8"/>
      <c r="C460" s="8"/>
      <c r="D460" s="8"/>
      <c r="E460" s="8"/>
      <c r="F460" s="8"/>
      <c r="G460" s="8"/>
      <c r="H460" s="8"/>
      <c r="I460" s="8"/>
      <c r="J460" s="9"/>
    </row>
    <row r="461" ht="12.75" customHeight="1">
      <c r="A461" s="10"/>
      <c r="J461" s="31"/>
    </row>
    <row r="462" ht="12.75" customHeight="1">
      <c r="A462" s="10"/>
      <c r="J462" s="31"/>
    </row>
    <row r="463" ht="12.75" customHeight="1">
      <c r="A463" s="10"/>
      <c r="J463" s="31"/>
    </row>
    <row r="464" ht="12.75" customHeight="1">
      <c r="A464" s="10"/>
      <c r="J464" s="31"/>
    </row>
    <row r="465" ht="12.75" customHeight="1">
      <c r="A465" s="10"/>
      <c r="J465" s="31"/>
    </row>
    <row r="466" ht="12.75" customHeight="1">
      <c r="A466" s="10"/>
      <c r="J466" s="31"/>
    </row>
    <row r="467" ht="12.75" customHeight="1">
      <c r="A467" s="10"/>
      <c r="J467" s="31"/>
    </row>
    <row r="468" ht="12.75" customHeight="1">
      <c r="A468" s="10"/>
      <c r="J468" s="31"/>
    </row>
    <row r="469" ht="12.75" customHeight="1">
      <c r="A469" s="10"/>
      <c r="J469" s="31"/>
    </row>
    <row r="470" ht="12.75" customHeight="1">
      <c r="A470" s="10"/>
      <c r="J470" s="31"/>
    </row>
    <row r="471" ht="12.75" customHeight="1">
      <c r="A471" s="10"/>
      <c r="J471" s="31"/>
    </row>
    <row r="472" ht="12.75" customHeight="1">
      <c r="A472" s="10"/>
      <c r="J472" s="31"/>
    </row>
    <row r="473" ht="12.75" customHeight="1">
      <c r="A473" s="10"/>
      <c r="J473" s="31"/>
    </row>
    <row r="474" ht="12.75" customHeight="1">
      <c r="A474" s="10"/>
      <c r="J474" s="31"/>
    </row>
    <row r="475" ht="12.75" customHeight="1">
      <c r="A475" s="10"/>
      <c r="J475" s="31"/>
    </row>
    <row r="476" ht="12.75" customHeight="1">
      <c r="A476" s="10"/>
      <c r="J476" s="31"/>
    </row>
    <row r="477" ht="12.75" customHeight="1">
      <c r="A477" s="10"/>
      <c r="J477" s="31"/>
    </row>
    <row r="478" ht="12.75" customHeight="1">
      <c r="A478" s="10"/>
      <c r="J478" s="31"/>
    </row>
    <row r="479" ht="12.75" customHeight="1">
      <c r="A479" s="10"/>
      <c r="J479" s="31"/>
    </row>
    <row r="480" ht="12.75" customHeight="1">
      <c r="A480" s="10"/>
      <c r="J480" s="31"/>
    </row>
    <row r="481" ht="12.75" customHeight="1">
      <c r="A481" s="10"/>
      <c r="J481" s="31"/>
    </row>
    <row r="482" ht="12.75" customHeight="1">
      <c r="A482" s="10"/>
      <c r="J482" s="31"/>
    </row>
    <row r="483" ht="12.75" customHeight="1">
      <c r="A483" s="10"/>
      <c r="J483" s="31"/>
    </row>
    <row r="484" ht="12.75" customHeight="1">
      <c r="A484" s="10"/>
      <c r="J484" s="31"/>
    </row>
    <row r="485" ht="12.75" customHeight="1">
      <c r="A485" s="10"/>
      <c r="J485" s="31"/>
    </row>
    <row r="486" ht="12.75" customHeight="1">
      <c r="A486" s="10"/>
      <c r="J486" s="31"/>
    </row>
    <row r="487" ht="12.75" customHeight="1">
      <c r="A487" s="10"/>
      <c r="J487" s="31"/>
    </row>
    <row r="488" ht="12.75" customHeight="1">
      <c r="A488" s="10"/>
      <c r="J488" s="31"/>
    </row>
    <row r="489" ht="12.75" customHeight="1">
      <c r="A489" s="10"/>
      <c r="J489" s="31"/>
    </row>
    <row r="490" ht="12.75" customHeight="1">
      <c r="A490" s="21"/>
      <c r="B490" s="53"/>
      <c r="C490" s="53"/>
      <c r="D490" s="53"/>
      <c r="E490" s="53"/>
      <c r="F490" s="53"/>
      <c r="G490" s="53"/>
      <c r="H490" s="53"/>
      <c r="I490" s="53"/>
      <c r="J490" s="54"/>
    </row>
    <row r="491" ht="12.75" customHeight="1">
      <c r="A491" s="226"/>
      <c r="B491" s="226"/>
      <c r="C491" s="226"/>
      <c r="D491" s="226"/>
      <c r="E491" s="226"/>
      <c r="F491" s="226"/>
      <c r="G491" s="226"/>
      <c r="H491" s="226"/>
      <c r="I491" s="226"/>
      <c r="J491" s="226"/>
    </row>
    <row r="492" ht="12.75" customHeight="1">
      <c r="A492" s="127" t="s">
        <v>80</v>
      </c>
      <c r="B492" s="43"/>
      <c r="C492" s="43"/>
      <c r="D492" s="43"/>
      <c r="E492" s="43"/>
      <c r="F492" s="43"/>
      <c r="G492" s="75"/>
      <c r="H492" s="128" t="str">
        <f>'CONTACT INFORMATION'!$A$24</f>
        <v>Amador</v>
      </c>
      <c r="I492" s="43"/>
      <c r="J492" s="44"/>
    </row>
    <row r="493" ht="12.75" customHeight="1">
      <c r="A493" s="129"/>
      <c r="B493" s="129"/>
      <c r="C493" s="129"/>
      <c r="D493" s="129"/>
      <c r="E493" s="129"/>
      <c r="F493" s="129"/>
      <c r="G493" s="129"/>
      <c r="H493" s="129"/>
      <c r="I493" s="129"/>
      <c r="J493" s="129"/>
    </row>
    <row r="494" ht="12.75" customHeight="1">
      <c r="A494" s="203" t="s">
        <v>227</v>
      </c>
      <c r="B494" s="43"/>
      <c r="C494" s="43"/>
      <c r="D494" s="43"/>
      <c r="E494" s="43"/>
      <c r="F494" s="43"/>
      <c r="G494" s="43"/>
      <c r="H494" s="43"/>
      <c r="I494" s="43"/>
      <c r="J494" s="44"/>
    </row>
    <row r="495" ht="12.75" customHeight="1">
      <c r="A495" s="204" t="s">
        <v>155</v>
      </c>
      <c r="B495" s="49"/>
      <c r="C495" s="49"/>
      <c r="D495" s="50"/>
      <c r="E495" s="231"/>
      <c r="F495" s="8"/>
      <c r="G495" s="8"/>
      <c r="H495" s="8"/>
      <c r="I495" s="8"/>
      <c r="J495" s="9"/>
    </row>
    <row r="496" ht="12.75" customHeight="1">
      <c r="A496" s="206" t="s">
        <v>184</v>
      </c>
      <c r="B496" s="207"/>
      <c r="C496" s="207"/>
      <c r="D496" s="208"/>
      <c r="E496" s="21"/>
      <c r="F496" s="53"/>
      <c r="G496" s="53"/>
      <c r="H496" s="53"/>
      <c r="I496" s="53"/>
      <c r="J496" s="54"/>
    </row>
    <row r="497" ht="12.75" customHeight="1">
      <c r="A497" s="209" t="s">
        <v>228</v>
      </c>
      <c r="B497" s="43"/>
      <c r="C497" s="43"/>
      <c r="D497" s="44"/>
      <c r="E497" s="150"/>
      <c r="F497" s="43"/>
      <c r="G497" s="43"/>
      <c r="H497" s="43"/>
      <c r="I497" s="43"/>
      <c r="J497" s="44"/>
    </row>
    <row r="498" ht="12.75" customHeight="1">
      <c r="A498" s="112"/>
      <c r="B498" s="114"/>
      <c r="C498" s="114"/>
      <c r="D498" s="114"/>
      <c r="E498" s="235" t="s">
        <v>159</v>
      </c>
      <c r="F498" s="43"/>
      <c r="G498" s="235" t="s">
        <v>160</v>
      </c>
      <c r="H498" s="43"/>
      <c r="I498" s="236" t="s">
        <v>161</v>
      </c>
      <c r="J498" s="44"/>
    </row>
    <row r="499" ht="12.75" customHeight="1">
      <c r="A499" s="149" t="s">
        <v>162</v>
      </c>
      <c r="B499" s="43"/>
      <c r="C499" s="43"/>
      <c r="D499" s="44"/>
      <c r="E499" s="212"/>
      <c r="F499" s="44"/>
      <c r="G499" s="212"/>
      <c r="H499" s="44"/>
      <c r="I499" s="213"/>
      <c r="J499" s="44"/>
    </row>
    <row r="500" ht="12.75" customHeight="1">
      <c r="A500" s="214" t="s">
        <v>163</v>
      </c>
      <c r="B500" s="43"/>
      <c r="C500" s="43"/>
      <c r="D500" s="44"/>
      <c r="E500" s="215"/>
      <c r="F500" s="44"/>
      <c r="G500" s="216"/>
      <c r="H500" s="44"/>
      <c r="I500" s="217"/>
      <c r="J500" s="44"/>
    </row>
    <row r="501" ht="12.75" customHeight="1">
      <c r="A501" s="149" t="s">
        <v>164</v>
      </c>
      <c r="B501" s="43"/>
      <c r="C501" s="43"/>
      <c r="D501" s="44"/>
      <c r="E501" s="212"/>
      <c r="F501" s="44"/>
      <c r="G501" s="212"/>
      <c r="H501" s="44"/>
      <c r="I501" s="213"/>
      <c r="J501" s="44"/>
    </row>
    <row r="502" ht="12.75" customHeight="1">
      <c r="A502" s="214" t="s">
        <v>165</v>
      </c>
      <c r="B502" s="43"/>
      <c r="C502" s="43"/>
      <c r="D502" s="44"/>
      <c r="E502" s="215"/>
      <c r="F502" s="44"/>
      <c r="G502" s="216"/>
      <c r="H502" s="44"/>
      <c r="I502" s="217"/>
      <c r="J502" s="44"/>
    </row>
    <row r="503" ht="12.75" customHeight="1">
      <c r="A503" s="149" t="s">
        <v>166</v>
      </c>
      <c r="B503" s="43"/>
      <c r="C503" s="43"/>
      <c r="D503" s="44"/>
      <c r="E503" s="212"/>
      <c r="F503" s="44"/>
      <c r="G503" s="212"/>
      <c r="H503" s="44"/>
      <c r="I503" s="213"/>
      <c r="J503" s="44"/>
    </row>
    <row r="504" ht="12.75" customHeight="1">
      <c r="A504" s="214" t="s">
        <v>167</v>
      </c>
      <c r="B504" s="43"/>
      <c r="C504" s="43"/>
      <c r="D504" s="44"/>
      <c r="E504" s="215"/>
      <c r="F504" s="44"/>
      <c r="G504" s="216"/>
      <c r="H504" s="44"/>
      <c r="I504" s="217"/>
      <c r="J504" s="44"/>
    </row>
    <row r="505" ht="12.75" customHeight="1">
      <c r="A505" s="149" t="s">
        <v>168</v>
      </c>
      <c r="B505" s="43"/>
      <c r="C505" s="43"/>
      <c r="D505" s="44"/>
      <c r="E505" s="218"/>
      <c r="F505" s="44"/>
      <c r="G505" s="218"/>
      <c r="H505" s="44"/>
      <c r="I505" s="219"/>
      <c r="J505" s="44"/>
    </row>
    <row r="506" ht="12.75" customHeight="1">
      <c r="A506" s="220"/>
      <c r="B506" s="43"/>
      <c r="C506" s="43"/>
      <c r="D506" s="44"/>
      <c r="E506" s="215"/>
      <c r="F506" s="44"/>
      <c r="G506" s="216"/>
      <c r="H506" s="44"/>
      <c r="I506" s="216"/>
      <c r="J506" s="44"/>
    </row>
    <row r="507" ht="12.75" customHeight="1">
      <c r="A507" s="220"/>
      <c r="B507" s="43"/>
      <c r="C507" s="43"/>
      <c r="D507" s="44"/>
      <c r="E507" s="215"/>
      <c r="F507" s="44"/>
      <c r="G507" s="216"/>
      <c r="H507" s="44"/>
      <c r="I507" s="216"/>
      <c r="J507" s="44"/>
    </row>
    <row r="508" ht="12.75" customHeight="1">
      <c r="A508" s="220"/>
      <c r="B508" s="43"/>
      <c r="C508" s="43"/>
      <c r="D508" s="44"/>
      <c r="E508" s="215"/>
      <c r="F508" s="44"/>
      <c r="G508" s="216"/>
      <c r="H508" s="44"/>
      <c r="I508" s="216"/>
      <c r="J508" s="44"/>
    </row>
    <row r="509" ht="12.75" customHeight="1">
      <c r="A509" s="151" t="s">
        <v>169</v>
      </c>
      <c r="B509" s="43"/>
      <c r="C509" s="43"/>
      <c r="D509" s="44"/>
      <c r="E509" s="221">
        <f>SUM(E499:E508)</f>
        <v>0</v>
      </c>
      <c r="F509" s="44"/>
      <c r="G509" s="221">
        <f>SUM(G499:G508)</f>
        <v>0</v>
      </c>
      <c r="H509" s="44"/>
      <c r="I509" s="221">
        <f>SUM(I499:I508)</f>
        <v>0</v>
      </c>
      <c r="J509" s="44"/>
    </row>
    <row r="510" ht="12.75" customHeight="1">
      <c r="A510" s="222" t="s">
        <v>170</v>
      </c>
      <c r="B510" s="49"/>
      <c r="C510" s="49"/>
      <c r="D510" s="49"/>
      <c r="E510" s="49"/>
      <c r="F510" s="49"/>
      <c r="G510" s="49"/>
      <c r="H510" s="49"/>
      <c r="I510" s="49"/>
      <c r="J510" s="50"/>
    </row>
    <row r="511" ht="12.75" customHeight="1">
      <c r="A511" s="223" t="s">
        <v>171</v>
      </c>
      <c r="B511" s="56"/>
      <c r="C511" s="56"/>
      <c r="D511" s="56"/>
      <c r="E511" s="56"/>
      <c r="F511" s="56"/>
      <c r="G511" s="56"/>
      <c r="H511" s="56"/>
      <c r="I511" s="56"/>
      <c r="J511" s="57"/>
    </row>
    <row r="512" ht="12.75" customHeight="1">
      <c r="A512" s="223" t="s">
        <v>172</v>
      </c>
      <c r="B512" s="56"/>
      <c r="C512" s="56"/>
      <c r="D512" s="56"/>
      <c r="E512" s="56"/>
      <c r="F512" s="56"/>
      <c r="G512" s="56"/>
      <c r="H512" s="56"/>
      <c r="I512" s="56"/>
      <c r="J512" s="57"/>
    </row>
    <row r="513" ht="12.75" customHeight="1">
      <c r="A513" s="224" t="s">
        <v>173</v>
      </c>
      <c r="B513" s="207"/>
      <c r="C513" s="207"/>
      <c r="D513" s="207"/>
      <c r="E513" s="207"/>
      <c r="F513" s="207"/>
      <c r="G513" s="207"/>
      <c r="H513" s="207"/>
      <c r="I513" s="207"/>
      <c r="J513" s="208"/>
    </row>
    <row r="514" ht="12.75" customHeight="1">
      <c r="A514" s="237"/>
      <c r="B514" s="8"/>
      <c r="C514" s="8"/>
      <c r="D514" s="8"/>
      <c r="E514" s="8"/>
      <c r="F514" s="8"/>
      <c r="G514" s="8"/>
      <c r="H514" s="8"/>
      <c r="I514" s="8"/>
      <c r="J514" s="9"/>
    </row>
    <row r="515" ht="12.75" customHeight="1">
      <c r="A515" s="10"/>
      <c r="J515" s="31"/>
    </row>
    <row r="516" ht="12.75" customHeight="1">
      <c r="A516" s="10"/>
      <c r="J516" s="31"/>
    </row>
    <row r="517" ht="12.75" customHeight="1">
      <c r="A517" s="10"/>
      <c r="J517" s="31"/>
    </row>
    <row r="518" ht="12.75" customHeight="1">
      <c r="A518" s="10"/>
      <c r="J518" s="31"/>
    </row>
    <row r="519" ht="12.75" customHeight="1">
      <c r="A519" s="10"/>
      <c r="J519" s="31"/>
    </row>
    <row r="520" ht="12.75" customHeight="1">
      <c r="A520" s="10"/>
      <c r="J520" s="31"/>
    </row>
    <row r="521" ht="12.75" customHeight="1">
      <c r="A521" s="10"/>
      <c r="J521" s="31"/>
    </row>
    <row r="522" ht="12.75" customHeight="1">
      <c r="A522" s="10"/>
      <c r="J522" s="31"/>
    </row>
    <row r="523" ht="12.75" customHeight="1">
      <c r="A523" s="10"/>
      <c r="J523" s="31"/>
    </row>
    <row r="524" ht="12.75" customHeight="1">
      <c r="A524" s="10"/>
      <c r="J524" s="31"/>
    </row>
    <row r="525" ht="12.75" customHeight="1">
      <c r="A525" s="10"/>
      <c r="J525" s="31"/>
    </row>
    <row r="526" ht="12.75" customHeight="1">
      <c r="A526" s="10"/>
      <c r="J526" s="31"/>
    </row>
    <row r="527" ht="12.75" customHeight="1">
      <c r="A527" s="10"/>
      <c r="J527" s="31"/>
    </row>
    <row r="528" ht="12.75" customHeight="1">
      <c r="A528" s="10"/>
      <c r="J528" s="31"/>
    </row>
    <row r="529" ht="12.75" customHeight="1">
      <c r="A529" s="10"/>
      <c r="J529" s="31"/>
    </row>
    <row r="530" ht="12.75" customHeight="1">
      <c r="A530" s="10"/>
      <c r="J530" s="31"/>
    </row>
    <row r="531" ht="12.75" customHeight="1">
      <c r="A531" s="10"/>
      <c r="J531" s="31"/>
    </row>
    <row r="532" ht="12.75" customHeight="1">
      <c r="A532" s="10"/>
      <c r="J532" s="31"/>
    </row>
    <row r="533" ht="12.75" customHeight="1">
      <c r="A533" s="10"/>
      <c r="J533" s="31"/>
    </row>
    <row r="534" ht="12.75" customHeight="1">
      <c r="A534" s="10"/>
      <c r="J534" s="31"/>
    </row>
    <row r="535" ht="12.75" customHeight="1">
      <c r="A535" s="10"/>
      <c r="J535" s="31"/>
    </row>
    <row r="536" ht="12.75" customHeight="1">
      <c r="A536" s="10"/>
      <c r="J536" s="31"/>
    </row>
    <row r="537" ht="12.75" customHeight="1">
      <c r="A537" s="10"/>
      <c r="J537" s="31"/>
    </row>
    <row r="538" ht="12.75" customHeight="1">
      <c r="A538" s="10"/>
      <c r="J538" s="31"/>
    </row>
    <row r="539" ht="12.75" customHeight="1">
      <c r="A539" s="10"/>
      <c r="J539" s="31"/>
    </row>
    <row r="540" ht="12.75" customHeight="1">
      <c r="A540" s="10"/>
      <c r="J540" s="31"/>
    </row>
    <row r="541" ht="12.75" customHeight="1">
      <c r="A541" s="10"/>
      <c r="J541" s="31"/>
    </row>
    <row r="542" ht="12.75" customHeight="1">
      <c r="A542" s="10"/>
      <c r="J542" s="31"/>
    </row>
    <row r="543" ht="12.75" customHeight="1">
      <c r="A543" s="10"/>
      <c r="J543" s="31"/>
    </row>
    <row r="544" ht="12.75" customHeight="1">
      <c r="A544" s="21"/>
      <c r="B544" s="53"/>
      <c r="C544" s="53"/>
      <c r="D544" s="53"/>
      <c r="E544" s="53"/>
      <c r="F544" s="53"/>
      <c r="G544" s="53"/>
      <c r="H544" s="53"/>
      <c r="I544" s="53"/>
      <c r="J544" s="54"/>
    </row>
    <row r="545" ht="12.75" customHeight="1">
      <c r="A545" s="226"/>
      <c r="B545" s="226"/>
      <c r="C545" s="226"/>
      <c r="D545" s="226"/>
      <c r="E545" s="226"/>
      <c r="F545" s="226"/>
      <c r="G545" s="226"/>
      <c r="H545" s="226"/>
      <c r="I545" s="226"/>
      <c r="J545" s="226"/>
    </row>
    <row r="546" ht="12.75" customHeight="1">
      <c r="A546" s="127" t="s">
        <v>80</v>
      </c>
      <c r="B546" s="43"/>
      <c r="C546" s="43"/>
      <c r="D546" s="43"/>
      <c r="E546" s="43"/>
      <c r="F546" s="43"/>
      <c r="G546" s="75"/>
      <c r="H546" s="128" t="str">
        <f>'CONTACT INFORMATION'!$A$24</f>
        <v>Amador</v>
      </c>
      <c r="I546" s="43"/>
      <c r="J546" s="44"/>
    </row>
    <row r="547" ht="12.75" customHeight="1">
      <c r="A547" s="129"/>
      <c r="B547" s="129"/>
      <c r="C547" s="129"/>
      <c r="D547" s="129"/>
      <c r="E547" s="129"/>
      <c r="F547" s="129"/>
      <c r="G547" s="129"/>
      <c r="H547" s="129"/>
      <c r="I547" s="129"/>
      <c r="J547" s="129"/>
    </row>
    <row r="548" ht="12.75" customHeight="1">
      <c r="A548" s="203" t="s">
        <v>229</v>
      </c>
      <c r="B548" s="43"/>
      <c r="C548" s="43"/>
      <c r="D548" s="43"/>
      <c r="E548" s="43"/>
      <c r="F548" s="43"/>
      <c r="G548" s="43"/>
      <c r="H548" s="43"/>
      <c r="I548" s="43"/>
      <c r="J548" s="44"/>
    </row>
    <row r="549" ht="12.75" customHeight="1">
      <c r="A549" s="204" t="s">
        <v>155</v>
      </c>
      <c r="B549" s="49"/>
      <c r="C549" s="49"/>
      <c r="D549" s="50"/>
      <c r="E549" s="231"/>
      <c r="F549" s="8"/>
      <c r="G549" s="8"/>
      <c r="H549" s="8"/>
      <c r="I549" s="8"/>
      <c r="J549" s="9"/>
    </row>
    <row r="550" ht="12.75" customHeight="1">
      <c r="A550" s="206" t="s">
        <v>184</v>
      </c>
      <c r="B550" s="207"/>
      <c r="C550" s="207"/>
      <c r="D550" s="208"/>
      <c r="E550" s="21"/>
      <c r="F550" s="53"/>
      <c r="G550" s="53"/>
      <c r="H550" s="53"/>
      <c r="I550" s="53"/>
      <c r="J550" s="54"/>
    </row>
    <row r="551" ht="12.75" customHeight="1">
      <c r="A551" s="209" t="s">
        <v>230</v>
      </c>
      <c r="B551" s="43"/>
      <c r="C551" s="43"/>
      <c r="D551" s="44"/>
      <c r="E551" s="150"/>
      <c r="F551" s="43"/>
      <c r="G551" s="43"/>
      <c r="H551" s="43"/>
      <c r="I551" s="43"/>
      <c r="J551" s="44"/>
    </row>
    <row r="552" ht="12.75" customHeight="1">
      <c r="A552" s="112"/>
      <c r="B552" s="114"/>
      <c r="C552" s="114"/>
      <c r="D552" s="114"/>
      <c r="E552" s="235" t="s">
        <v>159</v>
      </c>
      <c r="F552" s="43"/>
      <c r="G552" s="235" t="s">
        <v>160</v>
      </c>
      <c r="H552" s="43"/>
      <c r="I552" s="236" t="s">
        <v>161</v>
      </c>
      <c r="J552" s="44"/>
    </row>
    <row r="553" ht="12.75" customHeight="1">
      <c r="A553" s="149" t="s">
        <v>162</v>
      </c>
      <c r="B553" s="43"/>
      <c r="C553" s="43"/>
      <c r="D553" s="44"/>
      <c r="E553" s="212"/>
      <c r="F553" s="44"/>
      <c r="G553" s="212"/>
      <c r="H553" s="44"/>
      <c r="I553" s="213"/>
      <c r="J553" s="44"/>
    </row>
    <row r="554" ht="12.75" customHeight="1">
      <c r="A554" s="214" t="s">
        <v>163</v>
      </c>
      <c r="B554" s="43"/>
      <c r="C554" s="43"/>
      <c r="D554" s="44"/>
      <c r="E554" s="215"/>
      <c r="F554" s="44"/>
      <c r="G554" s="216"/>
      <c r="H554" s="44"/>
      <c r="I554" s="217"/>
      <c r="J554" s="44"/>
    </row>
    <row r="555" ht="12.75" customHeight="1">
      <c r="A555" s="149" t="s">
        <v>164</v>
      </c>
      <c r="B555" s="43"/>
      <c r="C555" s="43"/>
      <c r="D555" s="44"/>
      <c r="E555" s="212"/>
      <c r="F555" s="44"/>
      <c r="G555" s="212"/>
      <c r="H555" s="44"/>
      <c r="I555" s="213"/>
      <c r="J555" s="44"/>
    </row>
    <row r="556" ht="12.75" customHeight="1">
      <c r="A556" s="214" t="s">
        <v>165</v>
      </c>
      <c r="B556" s="43"/>
      <c r="C556" s="43"/>
      <c r="D556" s="44"/>
      <c r="E556" s="215"/>
      <c r="F556" s="44"/>
      <c r="G556" s="216"/>
      <c r="H556" s="44"/>
      <c r="I556" s="217"/>
      <c r="J556" s="44"/>
    </row>
    <row r="557" ht="12.75" customHeight="1">
      <c r="A557" s="149" t="s">
        <v>166</v>
      </c>
      <c r="B557" s="43"/>
      <c r="C557" s="43"/>
      <c r="D557" s="44"/>
      <c r="E557" s="212"/>
      <c r="F557" s="44"/>
      <c r="G557" s="212"/>
      <c r="H557" s="44"/>
      <c r="I557" s="213"/>
      <c r="J557" s="44"/>
    </row>
    <row r="558" ht="12.75" customHeight="1">
      <c r="A558" s="214" t="s">
        <v>167</v>
      </c>
      <c r="B558" s="43"/>
      <c r="C558" s="43"/>
      <c r="D558" s="44"/>
      <c r="E558" s="215"/>
      <c r="F558" s="44"/>
      <c r="G558" s="216"/>
      <c r="H558" s="44"/>
      <c r="I558" s="217"/>
      <c r="J558" s="44"/>
    </row>
    <row r="559" ht="12.75" customHeight="1">
      <c r="A559" s="149" t="s">
        <v>168</v>
      </c>
      <c r="B559" s="43"/>
      <c r="C559" s="43"/>
      <c r="D559" s="44"/>
      <c r="E559" s="218"/>
      <c r="F559" s="44"/>
      <c r="G559" s="218"/>
      <c r="H559" s="44"/>
      <c r="I559" s="219"/>
      <c r="J559" s="44"/>
    </row>
    <row r="560" ht="12.75" customHeight="1">
      <c r="A560" s="220"/>
      <c r="B560" s="43"/>
      <c r="C560" s="43"/>
      <c r="D560" s="44"/>
      <c r="E560" s="215"/>
      <c r="F560" s="44"/>
      <c r="G560" s="216"/>
      <c r="H560" s="44"/>
      <c r="I560" s="216"/>
      <c r="J560" s="44"/>
    </row>
    <row r="561" ht="12.75" customHeight="1">
      <c r="A561" s="220"/>
      <c r="B561" s="43"/>
      <c r="C561" s="43"/>
      <c r="D561" s="44"/>
      <c r="E561" s="215"/>
      <c r="F561" s="44"/>
      <c r="G561" s="216"/>
      <c r="H561" s="44"/>
      <c r="I561" s="216"/>
      <c r="J561" s="44"/>
    </row>
    <row r="562" ht="12.75" customHeight="1">
      <c r="A562" s="220"/>
      <c r="B562" s="43"/>
      <c r="C562" s="43"/>
      <c r="D562" s="44"/>
      <c r="E562" s="215"/>
      <c r="F562" s="44"/>
      <c r="G562" s="216"/>
      <c r="H562" s="44"/>
      <c r="I562" s="216"/>
      <c r="J562" s="44"/>
    </row>
    <row r="563" ht="12.75" customHeight="1">
      <c r="A563" s="151" t="s">
        <v>169</v>
      </c>
      <c r="B563" s="43"/>
      <c r="C563" s="43"/>
      <c r="D563" s="44"/>
      <c r="E563" s="221">
        <f>SUM(E553:E562)</f>
        <v>0</v>
      </c>
      <c r="F563" s="44"/>
      <c r="G563" s="221">
        <f>SUM(G553:G562)</f>
        <v>0</v>
      </c>
      <c r="H563" s="44"/>
      <c r="I563" s="221">
        <f>SUM(I553:I562)</f>
        <v>0</v>
      </c>
      <c r="J563" s="44"/>
    </row>
    <row r="564" ht="12.75" customHeight="1">
      <c r="A564" s="222" t="s">
        <v>170</v>
      </c>
      <c r="B564" s="49"/>
      <c r="C564" s="49"/>
      <c r="D564" s="49"/>
      <c r="E564" s="49"/>
      <c r="F564" s="49"/>
      <c r="G564" s="49"/>
      <c r="H564" s="49"/>
      <c r="I564" s="49"/>
      <c r="J564" s="50"/>
    </row>
    <row r="565" ht="12.75" customHeight="1">
      <c r="A565" s="223" t="s">
        <v>171</v>
      </c>
      <c r="B565" s="56"/>
      <c r="C565" s="56"/>
      <c r="D565" s="56"/>
      <c r="E565" s="56"/>
      <c r="F565" s="56"/>
      <c r="G565" s="56"/>
      <c r="H565" s="56"/>
      <c r="I565" s="56"/>
      <c r="J565" s="57"/>
    </row>
    <row r="566" ht="12.75" customHeight="1">
      <c r="A566" s="223" t="s">
        <v>172</v>
      </c>
      <c r="B566" s="56"/>
      <c r="C566" s="56"/>
      <c r="D566" s="56"/>
      <c r="E566" s="56"/>
      <c r="F566" s="56"/>
      <c r="G566" s="56"/>
      <c r="H566" s="56"/>
      <c r="I566" s="56"/>
      <c r="J566" s="57"/>
    </row>
    <row r="567" ht="12.75" customHeight="1">
      <c r="A567" s="224" t="s">
        <v>173</v>
      </c>
      <c r="B567" s="207"/>
      <c r="C567" s="207"/>
      <c r="D567" s="207"/>
      <c r="E567" s="207"/>
      <c r="F567" s="207"/>
      <c r="G567" s="207"/>
      <c r="H567" s="207"/>
      <c r="I567" s="207"/>
      <c r="J567" s="208"/>
    </row>
    <row r="568" ht="12.75" customHeight="1">
      <c r="A568" s="237"/>
      <c r="B568" s="8"/>
      <c r="C568" s="8"/>
      <c r="D568" s="8"/>
      <c r="E568" s="8"/>
      <c r="F568" s="8"/>
      <c r="G568" s="8"/>
      <c r="H568" s="8"/>
      <c r="I568" s="8"/>
      <c r="J568" s="9"/>
    </row>
    <row r="569" ht="12.75" customHeight="1">
      <c r="A569" s="10"/>
      <c r="J569" s="31"/>
    </row>
    <row r="570" ht="12.75" customHeight="1">
      <c r="A570" s="10"/>
      <c r="J570" s="31"/>
    </row>
    <row r="571" ht="12.75" customHeight="1">
      <c r="A571" s="10"/>
      <c r="J571" s="31"/>
    </row>
    <row r="572" ht="12.75" customHeight="1">
      <c r="A572" s="10"/>
      <c r="J572" s="31"/>
    </row>
    <row r="573" ht="12.75" customHeight="1">
      <c r="A573" s="10"/>
      <c r="J573" s="31"/>
    </row>
    <row r="574" ht="12.75" customHeight="1">
      <c r="A574" s="10"/>
      <c r="J574" s="31"/>
    </row>
    <row r="575" ht="12.75" customHeight="1">
      <c r="A575" s="10"/>
      <c r="J575" s="31"/>
    </row>
    <row r="576" ht="12.75" customHeight="1">
      <c r="A576" s="10"/>
      <c r="J576" s="31"/>
    </row>
    <row r="577" ht="12.75" customHeight="1">
      <c r="A577" s="10"/>
      <c r="J577" s="31"/>
    </row>
    <row r="578" ht="12.75" customHeight="1">
      <c r="A578" s="10"/>
      <c r="J578" s="31"/>
    </row>
    <row r="579" ht="12.75" customHeight="1">
      <c r="A579" s="10"/>
      <c r="J579" s="31"/>
    </row>
    <row r="580" ht="12.75" customHeight="1">
      <c r="A580" s="10"/>
      <c r="J580" s="31"/>
    </row>
    <row r="581" ht="12.75" customHeight="1">
      <c r="A581" s="10"/>
      <c r="J581" s="31"/>
    </row>
    <row r="582" ht="12.75" customHeight="1">
      <c r="A582" s="10"/>
      <c r="J582" s="31"/>
    </row>
    <row r="583" ht="12.75" customHeight="1">
      <c r="A583" s="10"/>
      <c r="J583" s="31"/>
    </row>
    <row r="584" ht="12.75" customHeight="1">
      <c r="A584" s="10"/>
      <c r="J584" s="31"/>
    </row>
    <row r="585" ht="12.75" customHeight="1">
      <c r="A585" s="10"/>
      <c r="J585" s="31"/>
    </row>
    <row r="586" ht="12.75" customHeight="1">
      <c r="A586" s="10"/>
      <c r="J586" s="31"/>
    </row>
    <row r="587" ht="12.75" customHeight="1">
      <c r="A587" s="10"/>
      <c r="J587" s="31"/>
    </row>
    <row r="588" ht="12.75" customHeight="1">
      <c r="A588" s="10"/>
      <c r="J588" s="31"/>
    </row>
    <row r="589" ht="12.75" customHeight="1">
      <c r="A589" s="10"/>
      <c r="J589" s="31"/>
    </row>
    <row r="590" ht="12.75" customHeight="1">
      <c r="A590" s="10"/>
      <c r="J590" s="31"/>
    </row>
    <row r="591" ht="12.75" customHeight="1">
      <c r="A591" s="10"/>
      <c r="J591" s="31"/>
    </row>
    <row r="592" ht="12.75" customHeight="1">
      <c r="A592" s="10"/>
      <c r="J592" s="31"/>
    </row>
    <row r="593" ht="12.75" customHeight="1">
      <c r="A593" s="10"/>
      <c r="J593" s="31"/>
    </row>
    <row r="594" ht="12.75" customHeight="1">
      <c r="A594" s="10"/>
      <c r="J594" s="31"/>
    </row>
    <row r="595" ht="12.75" customHeight="1">
      <c r="A595" s="10"/>
      <c r="J595" s="31"/>
    </row>
    <row r="596" ht="12.75" customHeight="1">
      <c r="A596" s="10"/>
      <c r="J596" s="31"/>
    </row>
    <row r="597" ht="12.75" customHeight="1">
      <c r="A597" s="10"/>
      <c r="J597" s="31"/>
    </row>
    <row r="598" ht="12.75" customHeight="1">
      <c r="A598" s="21"/>
      <c r="B598" s="53"/>
      <c r="C598" s="53"/>
      <c r="D598" s="53"/>
      <c r="E598" s="53"/>
      <c r="F598" s="53"/>
      <c r="G598" s="53"/>
      <c r="H598" s="53"/>
      <c r="I598" s="53"/>
      <c r="J598" s="54"/>
    </row>
    <row r="599" ht="12.75" customHeight="1">
      <c r="A599" s="226"/>
      <c r="B599" s="226"/>
      <c r="C599" s="226"/>
      <c r="D599" s="226"/>
      <c r="E599" s="226"/>
      <c r="F599" s="226"/>
      <c r="G599" s="226"/>
      <c r="H599" s="226"/>
      <c r="I599" s="226"/>
      <c r="J599" s="226"/>
    </row>
    <row r="600" ht="12.75" customHeight="1">
      <c r="A600" s="127" t="s">
        <v>80</v>
      </c>
      <c r="B600" s="43"/>
      <c r="C600" s="43"/>
      <c r="D600" s="43"/>
      <c r="E600" s="43"/>
      <c r="F600" s="43"/>
      <c r="G600" s="75"/>
      <c r="H600" s="128" t="str">
        <f>'CONTACT INFORMATION'!$A$24</f>
        <v>Amador</v>
      </c>
      <c r="I600" s="43"/>
      <c r="J600" s="44"/>
    </row>
    <row r="601" ht="12.75" customHeight="1">
      <c r="A601" s="129"/>
      <c r="B601" s="129"/>
      <c r="C601" s="129"/>
      <c r="D601" s="129"/>
      <c r="E601" s="129"/>
      <c r="F601" s="129"/>
      <c r="G601" s="129"/>
      <c r="H601" s="129"/>
      <c r="I601" s="129"/>
      <c r="J601" s="129"/>
    </row>
    <row r="602" ht="12.75" customHeight="1">
      <c r="A602" s="203" t="s">
        <v>231</v>
      </c>
      <c r="B602" s="43"/>
      <c r="C602" s="43"/>
      <c r="D602" s="43"/>
      <c r="E602" s="43"/>
      <c r="F602" s="43"/>
      <c r="G602" s="43"/>
      <c r="H602" s="43"/>
      <c r="I602" s="43"/>
      <c r="J602" s="44"/>
    </row>
    <row r="603" ht="12.75" customHeight="1">
      <c r="A603" s="204" t="s">
        <v>155</v>
      </c>
      <c r="B603" s="49"/>
      <c r="C603" s="49"/>
      <c r="D603" s="50"/>
      <c r="E603" s="231"/>
      <c r="F603" s="8"/>
      <c r="G603" s="8"/>
      <c r="H603" s="8"/>
      <c r="I603" s="8"/>
      <c r="J603" s="9"/>
    </row>
    <row r="604" ht="12.75" customHeight="1">
      <c r="A604" s="206" t="s">
        <v>184</v>
      </c>
      <c r="B604" s="207"/>
      <c r="C604" s="207"/>
      <c r="D604" s="208"/>
      <c r="E604" s="21"/>
      <c r="F604" s="53"/>
      <c r="G604" s="53"/>
      <c r="H604" s="53"/>
      <c r="I604" s="53"/>
      <c r="J604" s="54"/>
    </row>
    <row r="605" ht="12.75" customHeight="1">
      <c r="A605" s="209" t="s">
        <v>232</v>
      </c>
      <c r="B605" s="43"/>
      <c r="C605" s="43"/>
      <c r="D605" s="44"/>
      <c r="E605" s="150"/>
      <c r="F605" s="43"/>
      <c r="G605" s="43"/>
      <c r="H605" s="43"/>
      <c r="I605" s="43"/>
      <c r="J605" s="44"/>
    </row>
    <row r="606" ht="12.75" customHeight="1">
      <c r="A606" s="112"/>
      <c r="B606" s="114"/>
      <c r="C606" s="114"/>
      <c r="D606" s="114"/>
      <c r="E606" s="210" t="s">
        <v>159</v>
      </c>
      <c r="F606" s="53"/>
      <c r="G606" s="210" t="s">
        <v>160</v>
      </c>
      <c r="H606" s="53"/>
      <c r="I606" s="211" t="s">
        <v>161</v>
      </c>
      <c r="J606" s="54"/>
    </row>
    <row r="607" ht="12.75" customHeight="1">
      <c r="A607" s="149" t="s">
        <v>162</v>
      </c>
      <c r="B607" s="43"/>
      <c r="C607" s="43"/>
      <c r="D607" s="44"/>
      <c r="E607" s="212"/>
      <c r="F607" s="44"/>
      <c r="G607" s="212"/>
      <c r="H607" s="44"/>
      <c r="I607" s="213"/>
      <c r="J607" s="44"/>
    </row>
    <row r="608" ht="12.75" customHeight="1">
      <c r="A608" s="214" t="s">
        <v>163</v>
      </c>
      <c r="B608" s="43"/>
      <c r="C608" s="43"/>
      <c r="D608" s="44"/>
      <c r="E608" s="215"/>
      <c r="F608" s="44"/>
      <c r="G608" s="216"/>
      <c r="H608" s="44"/>
      <c r="I608" s="217"/>
      <c r="J608" s="44"/>
    </row>
    <row r="609" ht="12.75" customHeight="1">
      <c r="A609" s="149" t="s">
        <v>164</v>
      </c>
      <c r="B609" s="43"/>
      <c r="C609" s="43"/>
      <c r="D609" s="44"/>
      <c r="E609" s="212"/>
      <c r="F609" s="44"/>
      <c r="G609" s="212"/>
      <c r="H609" s="44"/>
      <c r="I609" s="213"/>
      <c r="J609" s="44"/>
    </row>
    <row r="610" ht="12.75" customHeight="1">
      <c r="A610" s="214" t="s">
        <v>165</v>
      </c>
      <c r="B610" s="43"/>
      <c r="C610" s="43"/>
      <c r="D610" s="44"/>
      <c r="E610" s="215"/>
      <c r="F610" s="44"/>
      <c r="G610" s="216"/>
      <c r="H610" s="44"/>
      <c r="I610" s="217"/>
      <c r="J610" s="44"/>
    </row>
    <row r="611" ht="12.75" customHeight="1">
      <c r="A611" s="149" t="s">
        <v>166</v>
      </c>
      <c r="B611" s="43"/>
      <c r="C611" s="43"/>
      <c r="D611" s="44"/>
      <c r="E611" s="212"/>
      <c r="F611" s="44"/>
      <c r="G611" s="212"/>
      <c r="H611" s="44"/>
      <c r="I611" s="213"/>
      <c r="J611" s="44"/>
    </row>
    <row r="612" ht="12.75" customHeight="1">
      <c r="A612" s="214" t="s">
        <v>167</v>
      </c>
      <c r="B612" s="43"/>
      <c r="C612" s="43"/>
      <c r="D612" s="44"/>
      <c r="E612" s="215"/>
      <c r="F612" s="44"/>
      <c r="G612" s="216"/>
      <c r="H612" s="44"/>
      <c r="I612" s="217"/>
      <c r="J612" s="44"/>
    </row>
    <row r="613" ht="12.75" customHeight="1">
      <c r="A613" s="149" t="s">
        <v>168</v>
      </c>
      <c r="B613" s="43"/>
      <c r="C613" s="43"/>
      <c r="D613" s="44"/>
      <c r="E613" s="218"/>
      <c r="F613" s="44"/>
      <c r="G613" s="218"/>
      <c r="H613" s="44"/>
      <c r="I613" s="219"/>
      <c r="J613" s="44"/>
    </row>
    <row r="614" ht="12.75" customHeight="1">
      <c r="A614" s="220"/>
      <c r="B614" s="43"/>
      <c r="C614" s="43"/>
      <c r="D614" s="44"/>
      <c r="E614" s="215"/>
      <c r="F614" s="44"/>
      <c r="G614" s="216"/>
      <c r="H614" s="44"/>
      <c r="I614" s="216"/>
      <c r="J614" s="44"/>
    </row>
    <row r="615" ht="12.75" customHeight="1">
      <c r="A615" s="220"/>
      <c r="B615" s="43"/>
      <c r="C615" s="43"/>
      <c r="D615" s="44"/>
      <c r="E615" s="215"/>
      <c r="F615" s="44"/>
      <c r="G615" s="216"/>
      <c r="H615" s="44"/>
      <c r="I615" s="216"/>
      <c r="J615" s="44"/>
    </row>
    <row r="616" ht="12.75" customHeight="1">
      <c r="A616" s="220"/>
      <c r="B616" s="43"/>
      <c r="C616" s="43"/>
      <c r="D616" s="44"/>
      <c r="E616" s="215"/>
      <c r="F616" s="44"/>
      <c r="G616" s="216"/>
      <c r="H616" s="44"/>
      <c r="I616" s="216"/>
      <c r="J616" s="44"/>
    </row>
    <row r="617" ht="12.75" customHeight="1">
      <c r="A617" s="151" t="s">
        <v>169</v>
      </c>
      <c r="B617" s="43"/>
      <c r="C617" s="43"/>
      <c r="D617" s="44"/>
      <c r="E617" s="221">
        <f>SUM(E607:E616)</f>
        <v>0</v>
      </c>
      <c r="F617" s="44"/>
      <c r="G617" s="221">
        <f>SUM(G607:G616)</f>
        <v>0</v>
      </c>
      <c r="H617" s="44"/>
      <c r="I617" s="221">
        <f>SUM(I607:I616)</f>
        <v>0</v>
      </c>
      <c r="J617" s="44"/>
    </row>
    <row r="618" ht="12.75" customHeight="1">
      <c r="A618" s="222" t="s">
        <v>170</v>
      </c>
      <c r="B618" s="49"/>
      <c r="C618" s="49"/>
      <c r="D618" s="49"/>
      <c r="E618" s="49"/>
      <c r="F618" s="49"/>
      <c r="G618" s="49"/>
      <c r="H618" s="49"/>
      <c r="I618" s="49"/>
      <c r="J618" s="50"/>
    </row>
    <row r="619" ht="12.75" customHeight="1">
      <c r="A619" s="223" t="s">
        <v>171</v>
      </c>
      <c r="B619" s="56"/>
      <c r="C619" s="56"/>
      <c r="D619" s="56"/>
      <c r="E619" s="56"/>
      <c r="F619" s="56"/>
      <c r="G619" s="56"/>
      <c r="H619" s="56"/>
      <c r="I619" s="56"/>
      <c r="J619" s="57"/>
    </row>
    <row r="620" ht="12.75" customHeight="1">
      <c r="A620" s="223" t="s">
        <v>172</v>
      </c>
      <c r="B620" s="56"/>
      <c r="C620" s="56"/>
      <c r="D620" s="56"/>
      <c r="E620" s="56"/>
      <c r="F620" s="56"/>
      <c r="G620" s="56"/>
      <c r="H620" s="56"/>
      <c r="I620" s="56"/>
      <c r="J620" s="57"/>
    </row>
    <row r="621" ht="12.75" customHeight="1">
      <c r="A621" s="224" t="s">
        <v>173</v>
      </c>
      <c r="B621" s="207"/>
      <c r="C621" s="207"/>
      <c r="D621" s="207"/>
      <c r="E621" s="207"/>
      <c r="F621" s="207"/>
      <c r="G621" s="207"/>
      <c r="H621" s="207"/>
      <c r="I621" s="207"/>
      <c r="J621" s="208"/>
    </row>
    <row r="622" ht="12.75" customHeight="1">
      <c r="A622" s="237"/>
      <c r="B622" s="8"/>
      <c r="C622" s="8"/>
      <c r="D622" s="8"/>
      <c r="E622" s="8"/>
      <c r="F622" s="8"/>
      <c r="G622" s="8"/>
      <c r="H622" s="8"/>
      <c r="I622" s="8"/>
      <c r="J622" s="9"/>
    </row>
    <row r="623" ht="12.75" customHeight="1">
      <c r="A623" s="10"/>
      <c r="J623" s="31"/>
    </row>
    <row r="624" ht="12.75" customHeight="1">
      <c r="A624" s="10"/>
      <c r="J624" s="31"/>
    </row>
    <row r="625" ht="12.75" customHeight="1">
      <c r="A625" s="10"/>
      <c r="J625" s="31"/>
    </row>
    <row r="626" ht="12.75" customHeight="1">
      <c r="A626" s="10"/>
      <c r="J626" s="31"/>
    </row>
    <row r="627" ht="12.75" customHeight="1">
      <c r="A627" s="10"/>
      <c r="J627" s="31"/>
    </row>
    <row r="628" ht="12.75" customHeight="1">
      <c r="A628" s="10"/>
      <c r="J628" s="31"/>
    </row>
    <row r="629" ht="12.75" customHeight="1">
      <c r="A629" s="10"/>
      <c r="J629" s="31"/>
    </row>
    <row r="630" ht="12.75" customHeight="1">
      <c r="A630" s="10"/>
      <c r="J630" s="31"/>
    </row>
    <row r="631" ht="12.75" customHeight="1">
      <c r="A631" s="10"/>
      <c r="J631" s="31"/>
    </row>
    <row r="632" ht="12.75" customHeight="1">
      <c r="A632" s="10"/>
      <c r="J632" s="31"/>
    </row>
    <row r="633" ht="12.75" customHeight="1">
      <c r="A633" s="10"/>
      <c r="J633" s="31"/>
    </row>
    <row r="634" ht="12.75" customHeight="1">
      <c r="A634" s="10"/>
      <c r="J634" s="31"/>
    </row>
    <row r="635" ht="12.75" customHeight="1">
      <c r="A635" s="10"/>
      <c r="J635" s="31"/>
    </row>
    <row r="636" ht="12.75" customHeight="1">
      <c r="A636" s="10"/>
      <c r="J636" s="31"/>
    </row>
    <row r="637" ht="12.75" customHeight="1">
      <c r="A637" s="10"/>
      <c r="J637" s="31"/>
    </row>
    <row r="638" ht="12.75" customHeight="1">
      <c r="A638" s="10"/>
      <c r="J638" s="31"/>
    </row>
    <row r="639" ht="12.75" customHeight="1">
      <c r="A639" s="10"/>
      <c r="J639" s="31"/>
    </row>
    <row r="640" ht="12.75" customHeight="1">
      <c r="A640" s="10"/>
      <c r="J640" s="31"/>
    </row>
    <row r="641" ht="12.75" customHeight="1">
      <c r="A641" s="10"/>
      <c r="J641" s="31"/>
    </row>
    <row r="642" ht="12.75" customHeight="1">
      <c r="A642" s="10"/>
      <c r="J642" s="31"/>
    </row>
    <row r="643" ht="12.75" customHeight="1">
      <c r="A643" s="10"/>
      <c r="J643" s="31"/>
    </row>
    <row r="644" ht="12.75" customHeight="1">
      <c r="A644" s="10"/>
      <c r="J644" s="31"/>
    </row>
    <row r="645" ht="12.75" customHeight="1">
      <c r="A645" s="10"/>
      <c r="J645" s="31"/>
    </row>
    <row r="646" ht="12.75" customHeight="1">
      <c r="A646" s="10"/>
      <c r="J646" s="31"/>
    </row>
    <row r="647" ht="12.75" customHeight="1">
      <c r="A647" s="10"/>
      <c r="J647" s="31"/>
    </row>
    <row r="648" ht="12.75" customHeight="1">
      <c r="A648" s="10"/>
      <c r="J648" s="31"/>
    </row>
    <row r="649" ht="12.75" customHeight="1">
      <c r="A649" s="10"/>
      <c r="J649" s="31"/>
    </row>
    <row r="650" ht="12.75" customHeight="1">
      <c r="A650" s="10"/>
      <c r="J650" s="31"/>
    </row>
    <row r="651" ht="12.75" customHeight="1">
      <c r="A651" s="10"/>
      <c r="J651" s="31"/>
    </row>
    <row r="652" ht="12.75" customHeight="1">
      <c r="A652" s="21"/>
      <c r="B652" s="53"/>
      <c r="C652" s="53"/>
      <c r="D652" s="53"/>
      <c r="E652" s="53"/>
      <c r="F652" s="53"/>
      <c r="G652" s="53"/>
      <c r="H652" s="53"/>
      <c r="I652" s="53"/>
      <c r="J652" s="54"/>
    </row>
    <row r="653" ht="12.75" customHeight="1">
      <c r="A653" s="226"/>
      <c r="B653" s="226"/>
      <c r="C653" s="226"/>
      <c r="D653" s="226"/>
      <c r="E653" s="226"/>
      <c r="F653" s="226"/>
      <c r="G653" s="226"/>
      <c r="H653" s="226"/>
      <c r="I653" s="226"/>
      <c r="J653" s="226"/>
    </row>
    <row r="654" ht="12.75" customHeight="1">
      <c r="A654" s="127" t="s">
        <v>80</v>
      </c>
      <c r="B654" s="43"/>
      <c r="C654" s="43"/>
      <c r="D654" s="43"/>
      <c r="E654" s="43"/>
      <c r="F654" s="43"/>
      <c r="G654" s="75"/>
      <c r="H654" s="128" t="str">
        <f>'CONTACT INFORMATION'!$A$24</f>
        <v>Amador</v>
      </c>
      <c r="I654" s="43"/>
      <c r="J654" s="44"/>
    </row>
    <row r="655" ht="12.75" customHeight="1">
      <c r="A655" s="129"/>
      <c r="B655" s="129"/>
      <c r="C655" s="129"/>
      <c r="D655" s="129"/>
      <c r="E655" s="129"/>
      <c r="F655" s="129"/>
      <c r="G655" s="129"/>
      <c r="H655" s="129"/>
      <c r="I655" s="129"/>
      <c r="J655" s="129"/>
    </row>
    <row r="656" ht="12.75" customHeight="1">
      <c r="A656" s="203" t="s">
        <v>233</v>
      </c>
      <c r="B656" s="43"/>
      <c r="C656" s="43"/>
      <c r="D656" s="43"/>
      <c r="E656" s="43"/>
      <c r="F656" s="43"/>
      <c r="G656" s="43"/>
      <c r="H656" s="43"/>
      <c r="I656" s="43"/>
      <c r="J656" s="44"/>
    </row>
    <row r="657" ht="12.75" customHeight="1">
      <c r="A657" s="204" t="s">
        <v>155</v>
      </c>
      <c r="B657" s="49"/>
      <c r="C657" s="49"/>
      <c r="D657" s="50"/>
      <c r="E657" s="231"/>
      <c r="F657" s="8"/>
      <c r="G657" s="8"/>
      <c r="H657" s="8"/>
      <c r="I657" s="8"/>
      <c r="J657" s="9"/>
    </row>
    <row r="658" ht="12.75" customHeight="1">
      <c r="A658" s="206" t="s">
        <v>184</v>
      </c>
      <c r="B658" s="207"/>
      <c r="C658" s="207"/>
      <c r="D658" s="208"/>
      <c r="E658" s="21"/>
      <c r="F658" s="53"/>
      <c r="G658" s="53"/>
      <c r="H658" s="53"/>
      <c r="I658" s="53"/>
      <c r="J658" s="54"/>
    </row>
    <row r="659" ht="12.75" customHeight="1">
      <c r="A659" s="209" t="s">
        <v>234</v>
      </c>
      <c r="B659" s="43"/>
      <c r="C659" s="43"/>
      <c r="D659" s="44"/>
      <c r="E659" s="150"/>
      <c r="F659" s="43"/>
      <c r="G659" s="43"/>
      <c r="H659" s="43"/>
      <c r="I659" s="43"/>
      <c r="J659" s="44"/>
    </row>
    <row r="660" ht="12.75" customHeight="1">
      <c r="A660" s="112"/>
      <c r="B660" s="114"/>
      <c r="C660" s="114"/>
      <c r="D660" s="114"/>
      <c r="E660" s="210" t="s">
        <v>159</v>
      </c>
      <c r="F660" s="53"/>
      <c r="G660" s="210" t="s">
        <v>160</v>
      </c>
      <c r="H660" s="53"/>
      <c r="I660" s="211" t="s">
        <v>161</v>
      </c>
      <c r="J660" s="54"/>
    </row>
    <row r="661" ht="12.75" customHeight="1">
      <c r="A661" s="149" t="s">
        <v>162</v>
      </c>
      <c r="B661" s="43"/>
      <c r="C661" s="43"/>
      <c r="D661" s="44"/>
      <c r="E661" s="212"/>
      <c r="F661" s="44"/>
      <c r="G661" s="212"/>
      <c r="H661" s="44"/>
      <c r="I661" s="213"/>
      <c r="J661" s="44"/>
    </row>
    <row r="662" ht="12.75" customHeight="1">
      <c r="A662" s="214" t="s">
        <v>163</v>
      </c>
      <c r="B662" s="43"/>
      <c r="C662" s="43"/>
      <c r="D662" s="44"/>
      <c r="E662" s="215"/>
      <c r="F662" s="44"/>
      <c r="G662" s="216"/>
      <c r="H662" s="44"/>
      <c r="I662" s="217"/>
      <c r="J662" s="44"/>
    </row>
    <row r="663" ht="12.75" customHeight="1">
      <c r="A663" s="149" t="s">
        <v>164</v>
      </c>
      <c r="B663" s="43"/>
      <c r="C663" s="43"/>
      <c r="D663" s="44"/>
      <c r="E663" s="212"/>
      <c r="F663" s="44"/>
      <c r="G663" s="212"/>
      <c r="H663" s="44"/>
      <c r="I663" s="213"/>
      <c r="J663" s="44"/>
    </row>
    <row r="664" ht="12.75" customHeight="1">
      <c r="A664" s="214" t="s">
        <v>165</v>
      </c>
      <c r="B664" s="43"/>
      <c r="C664" s="43"/>
      <c r="D664" s="44"/>
      <c r="E664" s="215"/>
      <c r="F664" s="44"/>
      <c r="G664" s="216"/>
      <c r="H664" s="44"/>
      <c r="I664" s="217"/>
      <c r="J664" s="44"/>
    </row>
    <row r="665" ht="12.75" customHeight="1">
      <c r="A665" s="149" t="s">
        <v>166</v>
      </c>
      <c r="B665" s="43"/>
      <c r="C665" s="43"/>
      <c r="D665" s="44"/>
      <c r="E665" s="212"/>
      <c r="F665" s="44"/>
      <c r="G665" s="212"/>
      <c r="H665" s="44"/>
      <c r="I665" s="213"/>
      <c r="J665" s="44"/>
    </row>
    <row r="666" ht="12.75" customHeight="1">
      <c r="A666" s="214" t="s">
        <v>167</v>
      </c>
      <c r="B666" s="43"/>
      <c r="C666" s="43"/>
      <c r="D666" s="44"/>
      <c r="E666" s="215"/>
      <c r="F666" s="44"/>
      <c r="G666" s="216"/>
      <c r="H666" s="44"/>
      <c r="I666" s="217"/>
      <c r="J666" s="44"/>
    </row>
    <row r="667" ht="12.75" customHeight="1">
      <c r="A667" s="149" t="s">
        <v>168</v>
      </c>
      <c r="B667" s="43"/>
      <c r="C667" s="43"/>
      <c r="D667" s="44"/>
      <c r="E667" s="218"/>
      <c r="F667" s="44"/>
      <c r="G667" s="218"/>
      <c r="H667" s="44"/>
      <c r="I667" s="219"/>
      <c r="J667" s="44"/>
    </row>
    <row r="668" ht="12.75" customHeight="1">
      <c r="A668" s="220"/>
      <c r="B668" s="43"/>
      <c r="C668" s="43"/>
      <c r="D668" s="44"/>
      <c r="E668" s="215"/>
      <c r="F668" s="44"/>
      <c r="G668" s="216"/>
      <c r="H668" s="44"/>
      <c r="I668" s="216"/>
      <c r="J668" s="44"/>
    </row>
    <row r="669" ht="12.75" customHeight="1">
      <c r="A669" s="220"/>
      <c r="B669" s="43"/>
      <c r="C669" s="43"/>
      <c r="D669" s="44"/>
      <c r="E669" s="215"/>
      <c r="F669" s="44"/>
      <c r="G669" s="216"/>
      <c r="H669" s="44"/>
      <c r="I669" s="216"/>
      <c r="J669" s="44"/>
    </row>
    <row r="670" ht="12.75" customHeight="1">
      <c r="A670" s="220"/>
      <c r="B670" s="43"/>
      <c r="C670" s="43"/>
      <c r="D670" s="44"/>
      <c r="E670" s="215"/>
      <c r="F670" s="44"/>
      <c r="G670" s="216"/>
      <c r="H670" s="44"/>
      <c r="I670" s="216"/>
      <c r="J670" s="44"/>
    </row>
    <row r="671" ht="12.75" customHeight="1">
      <c r="A671" s="151" t="s">
        <v>169</v>
      </c>
      <c r="B671" s="43"/>
      <c r="C671" s="43"/>
      <c r="D671" s="44"/>
      <c r="E671" s="221">
        <f>SUM(E661:E670)</f>
        <v>0</v>
      </c>
      <c r="F671" s="44"/>
      <c r="G671" s="221">
        <f>SUM(G661:G670)</f>
        <v>0</v>
      </c>
      <c r="H671" s="44"/>
      <c r="I671" s="221">
        <f>SUM(I661:I670)</f>
        <v>0</v>
      </c>
      <c r="J671" s="44"/>
    </row>
    <row r="672" ht="12.75" customHeight="1">
      <c r="A672" s="222" t="s">
        <v>170</v>
      </c>
      <c r="B672" s="49"/>
      <c r="C672" s="49"/>
      <c r="D672" s="49"/>
      <c r="E672" s="49"/>
      <c r="F672" s="49"/>
      <c r="G672" s="49"/>
      <c r="H672" s="49"/>
      <c r="I672" s="49"/>
      <c r="J672" s="50"/>
    </row>
    <row r="673" ht="12.75" customHeight="1">
      <c r="A673" s="223" t="s">
        <v>171</v>
      </c>
      <c r="B673" s="56"/>
      <c r="C673" s="56"/>
      <c r="D673" s="56"/>
      <c r="E673" s="56"/>
      <c r="F673" s="56"/>
      <c r="G673" s="56"/>
      <c r="H673" s="56"/>
      <c r="I673" s="56"/>
      <c r="J673" s="57"/>
    </row>
    <row r="674" ht="12.75" customHeight="1">
      <c r="A674" s="223" t="s">
        <v>172</v>
      </c>
      <c r="B674" s="56"/>
      <c r="C674" s="56"/>
      <c r="D674" s="56"/>
      <c r="E674" s="56"/>
      <c r="F674" s="56"/>
      <c r="G674" s="56"/>
      <c r="H674" s="56"/>
      <c r="I674" s="56"/>
      <c r="J674" s="57"/>
    </row>
    <row r="675" ht="12.75" customHeight="1">
      <c r="A675" s="224" t="s">
        <v>173</v>
      </c>
      <c r="B675" s="207"/>
      <c r="C675" s="207"/>
      <c r="D675" s="207"/>
      <c r="E675" s="207"/>
      <c r="F675" s="207"/>
      <c r="G675" s="207"/>
      <c r="H675" s="207"/>
      <c r="I675" s="207"/>
      <c r="J675" s="208"/>
    </row>
    <row r="676" ht="12.75" customHeight="1">
      <c r="A676" s="237"/>
      <c r="B676" s="8"/>
      <c r="C676" s="8"/>
      <c r="D676" s="8"/>
      <c r="E676" s="8"/>
      <c r="F676" s="8"/>
      <c r="G676" s="8"/>
      <c r="H676" s="8"/>
      <c r="I676" s="8"/>
      <c r="J676" s="9"/>
    </row>
    <row r="677" ht="12.75" customHeight="1">
      <c r="A677" s="10"/>
      <c r="J677" s="31"/>
    </row>
    <row r="678" ht="12.75" customHeight="1">
      <c r="A678" s="10"/>
      <c r="J678" s="31"/>
    </row>
    <row r="679" ht="12.75" customHeight="1">
      <c r="A679" s="10"/>
      <c r="J679" s="31"/>
    </row>
    <row r="680" ht="12.75" customHeight="1">
      <c r="A680" s="10"/>
      <c r="J680" s="31"/>
    </row>
    <row r="681" ht="12.75" customHeight="1">
      <c r="A681" s="10"/>
      <c r="J681" s="31"/>
    </row>
    <row r="682" ht="12.75" customHeight="1">
      <c r="A682" s="10"/>
      <c r="J682" s="31"/>
    </row>
    <row r="683" ht="12.75" customHeight="1">
      <c r="A683" s="10"/>
      <c r="J683" s="31"/>
    </row>
    <row r="684" ht="12.75" customHeight="1">
      <c r="A684" s="10"/>
      <c r="J684" s="31"/>
    </row>
    <row r="685" ht="12.75" customHeight="1">
      <c r="A685" s="10"/>
      <c r="J685" s="31"/>
    </row>
    <row r="686" ht="12.75" customHeight="1">
      <c r="A686" s="10"/>
      <c r="J686" s="31"/>
    </row>
    <row r="687" ht="12.75" customHeight="1">
      <c r="A687" s="10"/>
      <c r="J687" s="31"/>
    </row>
    <row r="688" ht="12.75" customHeight="1">
      <c r="A688" s="10"/>
      <c r="J688" s="31"/>
    </row>
    <row r="689" ht="12.75" customHeight="1">
      <c r="A689" s="10"/>
      <c r="J689" s="31"/>
    </row>
    <row r="690" ht="12.75" customHeight="1">
      <c r="A690" s="10"/>
      <c r="J690" s="31"/>
    </row>
    <row r="691" ht="12.75" customHeight="1">
      <c r="A691" s="10"/>
      <c r="J691" s="31"/>
    </row>
    <row r="692" ht="12.75" customHeight="1">
      <c r="A692" s="10"/>
      <c r="J692" s="31"/>
    </row>
    <row r="693" ht="12.75" customHeight="1">
      <c r="A693" s="10"/>
      <c r="J693" s="31"/>
    </row>
    <row r="694" ht="12.75" customHeight="1">
      <c r="A694" s="10"/>
      <c r="J694" s="31"/>
    </row>
    <row r="695" ht="12.75" customHeight="1">
      <c r="A695" s="10"/>
      <c r="J695" s="31"/>
    </row>
    <row r="696" ht="12.75" customHeight="1">
      <c r="A696" s="10"/>
      <c r="J696" s="31"/>
    </row>
    <row r="697" ht="12.75" customHeight="1">
      <c r="A697" s="10"/>
      <c r="J697" s="31"/>
    </row>
    <row r="698" ht="12.75" customHeight="1">
      <c r="A698" s="10"/>
      <c r="J698" s="31"/>
    </row>
    <row r="699" ht="12.75" customHeight="1">
      <c r="A699" s="10"/>
      <c r="J699" s="31"/>
    </row>
    <row r="700" ht="12.75" customHeight="1">
      <c r="A700" s="10"/>
      <c r="J700" s="31"/>
    </row>
    <row r="701" ht="12.75" customHeight="1">
      <c r="A701" s="10"/>
      <c r="J701" s="31"/>
    </row>
    <row r="702" ht="12.75" customHeight="1">
      <c r="A702" s="10"/>
      <c r="J702" s="31"/>
    </row>
    <row r="703" ht="12.75" customHeight="1">
      <c r="A703" s="10"/>
      <c r="J703" s="31"/>
    </row>
    <row r="704" ht="12.75" customHeight="1">
      <c r="A704" s="10"/>
      <c r="J704" s="31"/>
    </row>
    <row r="705" ht="12.75" customHeight="1">
      <c r="A705" s="10"/>
      <c r="J705" s="31"/>
    </row>
    <row r="706" ht="12.75" customHeight="1">
      <c r="A706" s="21"/>
      <c r="B706" s="53"/>
      <c r="C706" s="53"/>
      <c r="D706" s="53"/>
      <c r="E706" s="53"/>
      <c r="F706" s="53"/>
      <c r="G706" s="53"/>
      <c r="H706" s="53"/>
      <c r="I706" s="53"/>
      <c r="J706" s="54"/>
    </row>
    <row r="707" ht="12.75" customHeight="1">
      <c r="A707" s="198"/>
      <c r="B707" s="198"/>
      <c r="C707" s="198"/>
      <c r="D707" s="198"/>
      <c r="E707" s="198"/>
      <c r="F707" s="198"/>
      <c r="G707" s="198"/>
      <c r="H707" s="198"/>
      <c r="I707" s="198"/>
      <c r="J707" s="198"/>
    </row>
    <row r="708" ht="12.75" customHeight="1">
      <c r="A708" s="127" t="s">
        <v>80</v>
      </c>
      <c r="B708" s="43"/>
      <c r="C708" s="43"/>
      <c r="D708" s="43"/>
      <c r="E708" s="43"/>
      <c r="F708" s="43"/>
      <c r="G708" s="75"/>
      <c r="H708" s="128" t="str">
        <f>'CONTACT INFORMATION'!$A$24</f>
        <v>Amador</v>
      </c>
      <c r="I708" s="43"/>
      <c r="J708" s="44"/>
    </row>
    <row r="709" ht="12.75" customHeight="1">
      <c r="A709" s="129"/>
      <c r="B709" s="129"/>
      <c r="C709" s="129"/>
      <c r="D709" s="129"/>
      <c r="E709" s="129"/>
      <c r="F709" s="129"/>
      <c r="G709" s="129"/>
      <c r="H709" s="129"/>
      <c r="I709" s="129"/>
      <c r="J709" s="129"/>
    </row>
    <row r="710" ht="12.75" customHeight="1">
      <c r="A710" s="203" t="s">
        <v>235</v>
      </c>
      <c r="B710" s="43"/>
      <c r="C710" s="43"/>
      <c r="D710" s="43"/>
      <c r="E710" s="43"/>
      <c r="F710" s="43"/>
      <c r="G710" s="43"/>
      <c r="H710" s="43"/>
      <c r="I710" s="43"/>
      <c r="J710" s="44"/>
    </row>
    <row r="711" ht="12.75" customHeight="1">
      <c r="A711" s="204" t="s">
        <v>155</v>
      </c>
      <c r="B711" s="49"/>
      <c r="C711" s="49"/>
      <c r="D711" s="50"/>
      <c r="E711" s="231"/>
      <c r="F711" s="8"/>
      <c r="G711" s="8"/>
      <c r="H711" s="8"/>
      <c r="I711" s="8"/>
      <c r="J711" s="9"/>
    </row>
    <row r="712" ht="12.75" customHeight="1">
      <c r="A712" s="206" t="s">
        <v>184</v>
      </c>
      <c r="B712" s="207"/>
      <c r="C712" s="207"/>
      <c r="D712" s="208"/>
      <c r="E712" s="21"/>
      <c r="F712" s="53"/>
      <c r="G712" s="53"/>
      <c r="H712" s="53"/>
      <c r="I712" s="53"/>
      <c r="J712" s="54"/>
    </row>
    <row r="713" ht="12.75" customHeight="1">
      <c r="A713" s="209" t="s">
        <v>236</v>
      </c>
      <c r="B713" s="43"/>
      <c r="C713" s="43"/>
      <c r="D713" s="44"/>
      <c r="E713" s="150"/>
      <c r="F713" s="43"/>
      <c r="G713" s="43"/>
      <c r="H713" s="43"/>
      <c r="I713" s="43"/>
      <c r="J713" s="44"/>
    </row>
    <row r="714" ht="12.75" customHeight="1">
      <c r="A714" s="112"/>
      <c r="B714" s="114"/>
      <c r="C714" s="114"/>
      <c r="D714" s="114"/>
      <c r="E714" s="210" t="s">
        <v>159</v>
      </c>
      <c r="F714" s="53"/>
      <c r="G714" s="210" t="s">
        <v>160</v>
      </c>
      <c r="H714" s="53"/>
      <c r="I714" s="211" t="s">
        <v>161</v>
      </c>
      <c r="J714" s="54"/>
    </row>
    <row r="715" ht="12.75" customHeight="1">
      <c r="A715" s="149" t="s">
        <v>162</v>
      </c>
      <c r="B715" s="43"/>
      <c r="C715" s="43"/>
      <c r="D715" s="44"/>
      <c r="E715" s="212"/>
      <c r="F715" s="44"/>
      <c r="G715" s="212"/>
      <c r="H715" s="44"/>
      <c r="I715" s="213"/>
      <c r="J715" s="44"/>
    </row>
    <row r="716" ht="12.75" customHeight="1">
      <c r="A716" s="214" t="s">
        <v>163</v>
      </c>
      <c r="B716" s="43"/>
      <c r="C716" s="43"/>
      <c r="D716" s="44"/>
      <c r="E716" s="215"/>
      <c r="F716" s="44"/>
      <c r="G716" s="216"/>
      <c r="H716" s="44"/>
      <c r="I716" s="217"/>
      <c r="J716" s="44"/>
    </row>
    <row r="717" ht="12.75" customHeight="1">
      <c r="A717" s="149" t="s">
        <v>164</v>
      </c>
      <c r="B717" s="43"/>
      <c r="C717" s="43"/>
      <c r="D717" s="44"/>
      <c r="E717" s="212"/>
      <c r="F717" s="44"/>
      <c r="G717" s="212"/>
      <c r="H717" s="44"/>
      <c r="I717" s="213"/>
      <c r="J717" s="44"/>
    </row>
    <row r="718" ht="12.75" customHeight="1">
      <c r="A718" s="214" t="s">
        <v>165</v>
      </c>
      <c r="B718" s="43"/>
      <c r="C718" s="43"/>
      <c r="D718" s="44"/>
      <c r="E718" s="215"/>
      <c r="F718" s="44"/>
      <c r="G718" s="216"/>
      <c r="H718" s="44"/>
      <c r="I718" s="217"/>
      <c r="J718" s="44"/>
    </row>
    <row r="719" ht="12.75" customHeight="1">
      <c r="A719" s="149" t="s">
        <v>166</v>
      </c>
      <c r="B719" s="43"/>
      <c r="C719" s="43"/>
      <c r="D719" s="44"/>
      <c r="E719" s="212"/>
      <c r="F719" s="44"/>
      <c r="G719" s="212"/>
      <c r="H719" s="44"/>
      <c r="I719" s="213"/>
      <c r="J719" s="44"/>
    </row>
    <row r="720" ht="12.75" customHeight="1">
      <c r="A720" s="214" t="s">
        <v>167</v>
      </c>
      <c r="B720" s="43"/>
      <c r="C720" s="43"/>
      <c r="D720" s="44"/>
      <c r="E720" s="215"/>
      <c r="F720" s="44"/>
      <c r="G720" s="216"/>
      <c r="H720" s="44"/>
      <c r="I720" s="217"/>
      <c r="J720" s="44"/>
    </row>
    <row r="721" ht="12.75" customHeight="1">
      <c r="A721" s="149" t="s">
        <v>168</v>
      </c>
      <c r="B721" s="43"/>
      <c r="C721" s="43"/>
      <c r="D721" s="44"/>
      <c r="E721" s="218"/>
      <c r="F721" s="44"/>
      <c r="G721" s="218"/>
      <c r="H721" s="44"/>
      <c r="I721" s="219"/>
      <c r="J721" s="44"/>
    </row>
    <row r="722" ht="12.75" customHeight="1">
      <c r="A722" s="220"/>
      <c r="B722" s="43"/>
      <c r="C722" s="43"/>
      <c r="D722" s="44"/>
      <c r="E722" s="215"/>
      <c r="F722" s="44"/>
      <c r="G722" s="216"/>
      <c r="H722" s="44"/>
      <c r="I722" s="216"/>
      <c r="J722" s="44"/>
    </row>
    <row r="723" ht="12.75" customHeight="1">
      <c r="A723" s="220"/>
      <c r="B723" s="43"/>
      <c r="C723" s="43"/>
      <c r="D723" s="44"/>
      <c r="E723" s="215"/>
      <c r="F723" s="44"/>
      <c r="G723" s="216"/>
      <c r="H723" s="44"/>
      <c r="I723" s="216"/>
      <c r="J723" s="44"/>
    </row>
    <row r="724" ht="12.75" customHeight="1">
      <c r="A724" s="220"/>
      <c r="B724" s="43"/>
      <c r="C724" s="43"/>
      <c r="D724" s="44"/>
      <c r="E724" s="215"/>
      <c r="F724" s="44"/>
      <c r="G724" s="216"/>
      <c r="H724" s="44"/>
      <c r="I724" s="216"/>
      <c r="J724" s="44"/>
    </row>
    <row r="725" ht="12.75" customHeight="1">
      <c r="A725" s="151" t="s">
        <v>169</v>
      </c>
      <c r="B725" s="43"/>
      <c r="C725" s="43"/>
      <c r="D725" s="44"/>
      <c r="E725" s="221">
        <f>SUM(E715:E724)</f>
        <v>0</v>
      </c>
      <c r="F725" s="44"/>
      <c r="G725" s="221">
        <f>SUM(G715:G724)</f>
        <v>0</v>
      </c>
      <c r="H725" s="44"/>
      <c r="I725" s="221">
        <f>SUM(I715:I724)</f>
        <v>0</v>
      </c>
      <c r="J725" s="44"/>
    </row>
    <row r="726" ht="12.75" customHeight="1">
      <c r="A726" s="222" t="s">
        <v>170</v>
      </c>
      <c r="B726" s="49"/>
      <c r="C726" s="49"/>
      <c r="D726" s="49"/>
      <c r="E726" s="49"/>
      <c r="F726" s="49"/>
      <c r="G726" s="49"/>
      <c r="H726" s="49"/>
      <c r="I726" s="49"/>
      <c r="J726" s="50"/>
    </row>
    <row r="727" ht="12.75" customHeight="1">
      <c r="A727" s="223" t="s">
        <v>171</v>
      </c>
      <c r="B727" s="56"/>
      <c r="C727" s="56"/>
      <c r="D727" s="56"/>
      <c r="E727" s="56"/>
      <c r="F727" s="56"/>
      <c r="G727" s="56"/>
      <c r="H727" s="56"/>
      <c r="I727" s="56"/>
      <c r="J727" s="57"/>
    </row>
    <row r="728" ht="12.75" customHeight="1">
      <c r="A728" s="223" t="s">
        <v>172</v>
      </c>
      <c r="B728" s="56"/>
      <c r="C728" s="56"/>
      <c r="D728" s="56"/>
      <c r="E728" s="56"/>
      <c r="F728" s="56"/>
      <c r="G728" s="56"/>
      <c r="H728" s="56"/>
      <c r="I728" s="56"/>
      <c r="J728" s="57"/>
    </row>
    <row r="729" ht="12.75" customHeight="1">
      <c r="A729" s="224" t="s">
        <v>173</v>
      </c>
      <c r="B729" s="207"/>
      <c r="C729" s="207"/>
      <c r="D729" s="207"/>
      <c r="E729" s="207"/>
      <c r="F729" s="207"/>
      <c r="G729" s="207"/>
      <c r="H729" s="207"/>
      <c r="I729" s="207"/>
      <c r="J729" s="208"/>
    </row>
    <row r="730" ht="12.75" customHeight="1">
      <c r="A730" s="237"/>
      <c r="B730" s="8"/>
      <c r="C730" s="8"/>
      <c r="D730" s="8"/>
      <c r="E730" s="8"/>
      <c r="F730" s="8"/>
      <c r="G730" s="8"/>
      <c r="H730" s="8"/>
      <c r="I730" s="8"/>
      <c r="J730" s="9"/>
    </row>
    <row r="731" ht="12.75" customHeight="1">
      <c r="A731" s="10"/>
      <c r="J731" s="31"/>
    </row>
    <row r="732" ht="12.75" customHeight="1">
      <c r="A732" s="10"/>
      <c r="J732" s="31"/>
    </row>
    <row r="733" ht="12.75" customHeight="1">
      <c r="A733" s="10"/>
      <c r="J733" s="31"/>
    </row>
    <row r="734" ht="12.75" customHeight="1">
      <c r="A734" s="10"/>
      <c r="J734" s="31"/>
    </row>
    <row r="735" ht="12.75" customHeight="1">
      <c r="A735" s="10"/>
      <c r="J735" s="31"/>
    </row>
    <row r="736" ht="12.75" customHeight="1">
      <c r="A736" s="10"/>
      <c r="J736" s="31"/>
    </row>
    <row r="737" ht="12.75" customHeight="1">
      <c r="A737" s="10"/>
      <c r="J737" s="31"/>
    </row>
    <row r="738" ht="12.75" customHeight="1">
      <c r="A738" s="10"/>
      <c r="J738" s="31"/>
    </row>
    <row r="739" ht="12.75" customHeight="1">
      <c r="A739" s="10"/>
      <c r="J739" s="31"/>
    </row>
    <row r="740" ht="12.75" customHeight="1">
      <c r="A740" s="10"/>
      <c r="J740" s="31"/>
    </row>
    <row r="741" ht="12.75" customHeight="1">
      <c r="A741" s="10"/>
      <c r="J741" s="31"/>
    </row>
    <row r="742" ht="12.75" customHeight="1">
      <c r="A742" s="10"/>
      <c r="J742" s="31"/>
    </row>
    <row r="743" ht="12.75" customHeight="1">
      <c r="A743" s="10"/>
      <c r="J743" s="31"/>
    </row>
    <row r="744" ht="12.75" customHeight="1">
      <c r="A744" s="10"/>
      <c r="J744" s="31"/>
    </row>
    <row r="745" ht="12.75" customHeight="1">
      <c r="A745" s="10"/>
      <c r="J745" s="31"/>
    </row>
    <row r="746" ht="12.75" customHeight="1">
      <c r="A746" s="10"/>
      <c r="J746" s="31"/>
    </row>
    <row r="747" ht="12.75" customHeight="1">
      <c r="A747" s="10"/>
      <c r="J747" s="31"/>
    </row>
    <row r="748" ht="12.75" customHeight="1">
      <c r="A748" s="10"/>
      <c r="J748" s="31"/>
    </row>
    <row r="749" ht="12.75" customHeight="1">
      <c r="A749" s="10"/>
      <c r="J749" s="31"/>
    </row>
    <row r="750" ht="12.75" customHeight="1">
      <c r="A750" s="10"/>
      <c r="J750" s="31"/>
    </row>
    <row r="751" ht="12.75" customHeight="1">
      <c r="A751" s="10"/>
      <c r="J751" s="31"/>
    </row>
    <row r="752" ht="12.75" customHeight="1">
      <c r="A752" s="10"/>
      <c r="J752" s="31"/>
    </row>
    <row r="753" ht="12.75" customHeight="1">
      <c r="A753" s="10"/>
      <c r="J753" s="31"/>
    </row>
    <row r="754" ht="12.75" customHeight="1">
      <c r="A754" s="10"/>
      <c r="J754" s="31"/>
    </row>
    <row r="755" ht="12.75" customHeight="1">
      <c r="A755" s="10"/>
      <c r="J755" s="31"/>
    </row>
    <row r="756" ht="12.75" customHeight="1">
      <c r="A756" s="10"/>
      <c r="J756" s="31"/>
    </row>
    <row r="757" ht="12.75" customHeight="1">
      <c r="A757" s="10"/>
      <c r="J757" s="31"/>
    </row>
    <row r="758" ht="12.75" customHeight="1">
      <c r="A758" s="10"/>
      <c r="J758" s="31"/>
    </row>
    <row r="759" ht="12.75" customHeight="1">
      <c r="A759" s="10"/>
      <c r="J759" s="31"/>
    </row>
    <row r="760" ht="12.75" customHeight="1">
      <c r="A760" s="21"/>
      <c r="B760" s="53"/>
      <c r="C760" s="53"/>
      <c r="D760" s="53"/>
      <c r="E760" s="53"/>
      <c r="F760" s="53"/>
      <c r="G760" s="53"/>
      <c r="H760" s="53"/>
      <c r="I760" s="53"/>
      <c r="J760" s="54"/>
    </row>
    <row r="761" ht="12.75" customHeight="1"/>
    <row r="762" ht="12.75" customHeight="1">
      <c r="A762" s="127" t="s">
        <v>80</v>
      </c>
      <c r="B762" s="43"/>
      <c r="C762" s="43"/>
      <c r="D762" s="43"/>
      <c r="E762" s="43"/>
      <c r="F762" s="43"/>
      <c r="G762" s="75"/>
      <c r="H762" s="128" t="str">
        <f>'CONTACT INFORMATION'!$A$24</f>
        <v>Amador</v>
      </c>
      <c r="I762" s="43"/>
      <c r="J762" s="44"/>
    </row>
    <row r="763" ht="12.75" customHeight="1">
      <c r="A763" s="129"/>
      <c r="B763" s="129"/>
      <c r="C763" s="129"/>
      <c r="D763" s="129"/>
      <c r="E763" s="129"/>
      <c r="F763" s="129"/>
      <c r="G763" s="129"/>
      <c r="H763" s="129"/>
      <c r="I763" s="129"/>
      <c r="J763" s="129"/>
    </row>
    <row r="764" ht="12.75" customHeight="1">
      <c r="A764" s="203" t="s">
        <v>237</v>
      </c>
      <c r="B764" s="43"/>
      <c r="C764" s="43"/>
      <c r="D764" s="43"/>
      <c r="E764" s="43"/>
      <c r="F764" s="43"/>
      <c r="G764" s="43"/>
      <c r="H764" s="43"/>
      <c r="I764" s="43"/>
      <c r="J764" s="44"/>
    </row>
    <row r="765" ht="12.75" customHeight="1">
      <c r="A765" s="204" t="s">
        <v>155</v>
      </c>
      <c r="B765" s="49"/>
      <c r="C765" s="49"/>
      <c r="D765" s="50"/>
      <c r="E765" s="231"/>
      <c r="F765" s="8"/>
      <c r="G765" s="8"/>
      <c r="H765" s="8"/>
      <c r="I765" s="8"/>
      <c r="J765" s="9"/>
    </row>
    <row r="766" ht="12.75" customHeight="1">
      <c r="A766" s="206" t="s">
        <v>184</v>
      </c>
      <c r="B766" s="207"/>
      <c r="C766" s="207"/>
      <c r="D766" s="208"/>
      <c r="E766" s="21"/>
      <c r="F766" s="53"/>
      <c r="G766" s="53"/>
      <c r="H766" s="53"/>
      <c r="I766" s="53"/>
      <c r="J766" s="54"/>
    </row>
    <row r="767" ht="12.75" customHeight="1">
      <c r="A767" s="209" t="s">
        <v>238</v>
      </c>
      <c r="B767" s="43"/>
      <c r="C767" s="43"/>
      <c r="D767" s="44"/>
      <c r="E767" s="150"/>
      <c r="F767" s="43"/>
      <c r="G767" s="43"/>
      <c r="H767" s="43"/>
      <c r="I767" s="43"/>
      <c r="J767" s="44"/>
    </row>
    <row r="768" ht="12.75" customHeight="1">
      <c r="A768" s="112"/>
      <c r="B768" s="114"/>
      <c r="C768" s="114"/>
      <c r="D768" s="114"/>
      <c r="E768" s="210" t="s">
        <v>159</v>
      </c>
      <c r="F768" s="53"/>
      <c r="G768" s="210" t="s">
        <v>160</v>
      </c>
      <c r="H768" s="53"/>
      <c r="I768" s="211" t="s">
        <v>161</v>
      </c>
      <c r="J768" s="54"/>
    </row>
    <row r="769" ht="12.75" customHeight="1">
      <c r="A769" s="149" t="s">
        <v>162</v>
      </c>
      <c r="B769" s="43"/>
      <c r="C769" s="43"/>
      <c r="D769" s="44"/>
      <c r="E769" s="212"/>
      <c r="F769" s="44"/>
      <c r="G769" s="212"/>
      <c r="H769" s="44"/>
      <c r="I769" s="213"/>
      <c r="J769" s="44"/>
    </row>
    <row r="770" ht="12.75" customHeight="1">
      <c r="A770" s="214" t="s">
        <v>163</v>
      </c>
      <c r="B770" s="43"/>
      <c r="C770" s="43"/>
      <c r="D770" s="44"/>
      <c r="E770" s="215"/>
      <c r="F770" s="44"/>
      <c r="G770" s="216"/>
      <c r="H770" s="44"/>
      <c r="I770" s="217"/>
      <c r="J770" s="44"/>
    </row>
    <row r="771" ht="12.75" customHeight="1">
      <c r="A771" s="149" t="s">
        <v>164</v>
      </c>
      <c r="B771" s="43"/>
      <c r="C771" s="43"/>
      <c r="D771" s="44"/>
      <c r="E771" s="212"/>
      <c r="F771" s="44"/>
      <c r="G771" s="212"/>
      <c r="H771" s="44"/>
      <c r="I771" s="213"/>
      <c r="J771" s="44"/>
    </row>
    <row r="772" ht="12.75" customHeight="1">
      <c r="A772" s="214" t="s">
        <v>165</v>
      </c>
      <c r="B772" s="43"/>
      <c r="C772" s="43"/>
      <c r="D772" s="44"/>
      <c r="E772" s="215"/>
      <c r="F772" s="44"/>
      <c r="G772" s="216"/>
      <c r="H772" s="44"/>
      <c r="I772" s="217"/>
      <c r="J772" s="44"/>
    </row>
    <row r="773" ht="12.75" customHeight="1">
      <c r="A773" s="149" t="s">
        <v>166</v>
      </c>
      <c r="B773" s="43"/>
      <c r="C773" s="43"/>
      <c r="D773" s="44"/>
      <c r="E773" s="212"/>
      <c r="F773" s="44"/>
      <c r="G773" s="212"/>
      <c r="H773" s="44"/>
      <c r="I773" s="213"/>
      <c r="J773" s="44"/>
    </row>
    <row r="774" ht="12.75" customHeight="1">
      <c r="A774" s="214" t="s">
        <v>167</v>
      </c>
      <c r="B774" s="43"/>
      <c r="C774" s="43"/>
      <c r="D774" s="44"/>
      <c r="E774" s="215"/>
      <c r="F774" s="44"/>
      <c r="G774" s="216"/>
      <c r="H774" s="44"/>
      <c r="I774" s="217"/>
      <c r="J774" s="44"/>
    </row>
    <row r="775" ht="12.75" customHeight="1">
      <c r="A775" s="149" t="s">
        <v>168</v>
      </c>
      <c r="B775" s="43"/>
      <c r="C775" s="43"/>
      <c r="D775" s="44"/>
      <c r="E775" s="218"/>
      <c r="F775" s="44"/>
      <c r="G775" s="218"/>
      <c r="H775" s="44"/>
      <c r="I775" s="219"/>
      <c r="J775" s="44"/>
    </row>
    <row r="776" ht="12.75" customHeight="1">
      <c r="A776" s="220"/>
      <c r="B776" s="43"/>
      <c r="C776" s="43"/>
      <c r="D776" s="44"/>
      <c r="E776" s="215"/>
      <c r="F776" s="44"/>
      <c r="G776" s="216"/>
      <c r="H776" s="44"/>
      <c r="I776" s="216"/>
      <c r="J776" s="44"/>
    </row>
    <row r="777" ht="12.75" customHeight="1">
      <c r="A777" s="220"/>
      <c r="B777" s="43"/>
      <c r="C777" s="43"/>
      <c r="D777" s="44"/>
      <c r="E777" s="215"/>
      <c r="F777" s="44"/>
      <c r="G777" s="216"/>
      <c r="H777" s="44"/>
      <c r="I777" s="216"/>
      <c r="J777" s="44"/>
    </row>
    <row r="778" ht="12.75" customHeight="1">
      <c r="A778" s="220"/>
      <c r="B778" s="43"/>
      <c r="C778" s="43"/>
      <c r="D778" s="44"/>
      <c r="E778" s="215"/>
      <c r="F778" s="44"/>
      <c r="G778" s="216"/>
      <c r="H778" s="44"/>
      <c r="I778" s="216"/>
      <c r="J778" s="44"/>
    </row>
    <row r="779" ht="12.75" customHeight="1">
      <c r="A779" s="151" t="s">
        <v>169</v>
      </c>
      <c r="B779" s="43"/>
      <c r="C779" s="43"/>
      <c r="D779" s="44"/>
      <c r="E779" s="221">
        <f>SUM(E769:E778)</f>
        <v>0</v>
      </c>
      <c r="F779" s="44"/>
      <c r="G779" s="221">
        <f>SUM(G769:G778)</f>
        <v>0</v>
      </c>
      <c r="H779" s="44"/>
      <c r="I779" s="221">
        <f>SUM(I769:I778)</f>
        <v>0</v>
      </c>
      <c r="J779" s="44"/>
    </row>
    <row r="780" ht="12.75" customHeight="1">
      <c r="A780" s="222" t="s">
        <v>170</v>
      </c>
      <c r="B780" s="49"/>
      <c r="C780" s="49"/>
      <c r="D780" s="49"/>
      <c r="E780" s="49"/>
      <c r="F780" s="49"/>
      <c r="G780" s="49"/>
      <c r="H780" s="49"/>
      <c r="I780" s="49"/>
      <c r="J780" s="50"/>
    </row>
    <row r="781" ht="12.75" customHeight="1">
      <c r="A781" s="223" t="s">
        <v>171</v>
      </c>
      <c r="B781" s="56"/>
      <c r="C781" s="56"/>
      <c r="D781" s="56"/>
      <c r="E781" s="56"/>
      <c r="F781" s="56"/>
      <c r="G781" s="56"/>
      <c r="H781" s="56"/>
      <c r="I781" s="56"/>
      <c r="J781" s="57"/>
    </row>
    <row r="782" ht="12.75" customHeight="1">
      <c r="A782" s="223" t="s">
        <v>172</v>
      </c>
      <c r="B782" s="56"/>
      <c r="C782" s="56"/>
      <c r="D782" s="56"/>
      <c r="E782" s="56"/>
      <c r="F782" s="56"/>
      <c r="G782" s="56"/>
      <c r="H782" s="56"/>
      <c r="I782" s="56"/>
      <c r="J782" s="57"/>
    </row>
    <row r="783" ht="12.75" customHeight="1">
      <c r="A783" s="224" t="s">
        <v>173</v>
      </c>
      <c r="B783" s="207"/>
      <c r="C783" s="207"/>
      <c r="D783" s="207"/>
      <c r="E783" s="207"/>
      <c r="F783" s="207"/>
      <c r="G783" s="207"/>
      <c r="H783" s="207"/>
      <c r="I783" s="207"/>
      <c r="J783" s="208"/>
    </row>
    <row r="784" ht="12.75" customHeight="1">
      <c r="A784" s="237"/>
      <c r="B784" s="8"/>
      <c r="C784" s="8"/>
      <c r="D784" s="8"/>
      <c r="E784" s="8"/>
      <c r="F784" s="8"/>
      <c r="G784" s="8"/>
      <c r="H784" s="8"/>
      <c r="I784" s="8"/>
      <c r="J784" s="9"/>
    </row>
    <row r="785" ht="12.75" customHeight="1">
      <c r="A785" s="10"/>
      <c r="J785" s="31"/>
    </row>
    <row r="786" ht="12.75" customHeight="1">
      <c r="A786" s="10"/>
      <c r="J786" s="31"/>
    </row>
    <row r="787" ht="12.75" customHeight="1">
      <c r="A787" s="10"/>
      <c r="J787" s="31"/>
    </row>
    <row r="788" ht="12.75" customHeight="1">
      <c r="A788" s="10"/>
      <c r="J788" s="31"/>
    </row>
    <row r="789" ht="12.75" customHeight="1">
      <c r="A789" s="10"/>
      <c r="J789" s="31"/>
    </row>
    <row r="790" ht="12.75" customHeight="1">
      <c r="A790" s="10"/>
      <c r="J790" s="31"/>
    </row>
    <row r="791" ht="12.75" customHeight="1">
      <c r="A791" s="10"/>
      <c r="J791" s="31"/>
    </row>
    <row r="792" ht="12.75" customHeight="1">
      <c r="A792" s="10"/>
      <c r="J792" s="31"/>
    </row>
    <row r="793" ht="12.75" customHeight="1">
      <c r="A793" s="10"/>
      <c r="J793" s="31"/>
    </row>
    <row r="794" ht="12.75" customHeight="1">
      <c r="A794" s="10"/>
      <c r="J794" s="31"/>
    </row>
    <row r="795" ht="12.75" customHeight="1">
      <c r="A795" s="10"/>
      <c r="J795" s="31"/>
    </row>
    <row r="796" ht="12.75" customHeight="1">
      <c r="A796" s="10"/>
      <c r="J796" s="31"/>
    </row>
    <row r="797" ht="12.75" customHeight="1">
      <c r="A797" s="10"/>
      <c r="J797" s="31"/>
    </row>
    <row r="798" ht="12.75" customHeight="1">
      <c r="A798" s="10"/>
      <c r="J798" s="31"/>
    </row>
    <row r="799" ht="12.75" customHeight="1">
      <c r="A799" s="10"/>
      <c r="J799" s="31"/>
    </row>
    <row r="800" ht="12.75" customHeight="1">
      <c r="A800" s="10"/>
      <c r="J800" s="31"/>
    </row>
    <row r="801" ht="12.75" customHeight="1">
      <c r="A801" s="10"/>
      <c r="J801" s="31"/>
    </row>
    <row r="802" ht="12.75" customHeight="1">
      <c r="A802" s="10"/>
      <c r="J802" s="31"/>
    </row>
    <row r="803" ht="12.75" customHeight="1">
      <c r="A803" s="10"/>
      <c r="J803" s="31"/>
    </row>
    <row r="804" ht="12.75" customHeight="1">
      <c r="A804" s="10"/>
      <c r="J804" s="31"/>
    </row>
    <row r="805" ht="12.75" customHeight="1">
      <c r="A805" s="10"/>
      <c r="J805" s="31"/>
    </row>
    <row r="806" ht="12.75" customHeight="1">
      <c r="A806" s="10"/>
      <c r="J806" s="31"/>
    </row>
    <row r="807" ht="12.75" customHeight="1">
      <c r="A807" s="10"/>
      <c r="J807" s="31"/>
    </row>
    <row r="808" ht="12.75" customHeight="1">
      <c r="A808" s="10"/>
      <c r="J808" s="31"/>
    </row>
    <row r="809" ht="12.75" customHeight="1">
      <c r="A809" s="10"/>
      <c r="J809" s="31"/>
    </row>
    <row r="810" ht="12.75" customHeight="1">
      <c r="A810" s="10"/>
      <c r="J810" s="31"/>
    </row>
    <row r="811" ht="12.75" customHeight="1">
      <c r="A811" s="10"/>
      <c r="J811" s="31"/>
    </row>
    <row r="812" ht="12.75" customHeight="1">
      <c r="A812" s="10"/>
      <c r="J812" s="31"/>
    </row>
    <row r="813" ht="12.75" customHeight="1">
      <c r="A813" s="10"/>
      <c r="J813" s="31"/>
    </row>
    <row r="814" ht="12.75" customHeight="1">
      <c r="A814" s="10"/>
      <c r="J814" s="31"/>
    </row>
    <row r="815" ht="12.75" customHeight="1">
      <c r="A815" s="21"/>
      <c r="B815" s="53"/>
      <c r="C815" s="53"/>
      <c r="D815" s="53"/>
      <c r="E815" s="53"/>
      <c r="F815" s="53"/>
      <c r="G815" s="53"/>
      <c r="H815" s="53"/>
      <c r="I815" s="53"/>
      <c r="J815" s="54"/>
    </row>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65:D765"/>
    <mergeCell ref="A766:D766"/>
    <mergeCell ref="A767:D767"/>
    <mergeCell ref="A728:J728"/>
    <mergeCell ref="A729:J729"/>
    <mergeCell ref="A730:J760"/>
    <mergeCell ref="A762:G762"/>
    <mergeCell ref="H762:J762"/>
    <mergeCell ref="A764:J764"/>
    <mergeCell ref="E765:J766"/>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18:D718"/>
    <mergeCell ref="E718:F718"/>
    <mergeCell ref="G722:H722"/>
    <mergeCell ref="I722:J722"/>
    <mergeCell ref="E767:J767"/>
    <mergeCell ref="E768:F768"/>
    <mergeCell ref="G768:H768"/>
    <mergeCell ref="I768:J768"/>
    <mergeCell ref="E769:F769"/>
    <mergeCell ref="G769:H769"/>
    <mergeCell ref="I769:J769"/>
    <mergeCell ref="A776:D776"/>
    <mergeCell ref="E776:F776"/>
    <mergeCell ref="G776:H776"/>
    <mergeCell ref="I776:J776"/>
    <mergeCell ref="E777:F777"/>
    <mergeCell ref="G777:H777"/>
    <mergeCell ref="I777:J777"/>
    <mergeCell ref="A777:D777"/>
    <mergeCell ref="A778:D778"/>
    <mergeCell ref="E778:F778"/>
    <mergeCell ref="G778:H778"/>
    <mergeCell ref="I778:J778"/>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I775:J775"/>
    <mergeCell ref="A773:D773"/>
    <mergeCell ref="A774:D774"/>
    <mergeCell ref="E774:F774"/>
    <mergeCell ref="G774:H774"/>
    <mergeCell ref="I774:J774"/>
    <mergeCell ref="A775:D775"/>
    <mergeCell ref="E775:F775"/>
    <mergeCell ref="G779:H779"/>
    <mergeCell ref="I779:J779"/>
    <mergeCell ref="A780:J780"/>
    <mergeCell ref="A781:J781"/>
    <mergeCell ref="A782:J782"/>
    <mergeCell ref="A783:J783"/>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654:G654"/>
    <mergeCell ref="H654:J654"/>
    <mergeCell ref="A656:J656"/>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610:D610"/>
    <mergeCell ref="E610:F610"/>
    <mergeCell ref="G614:H614"/>
    <mergeCell ref="I614:J614"/>
    <mergeCell ref="E659:J659"/>
    <mergeCell ref="E660:F660"/>
    <mergeCell ref="G660:H660"/>
    <mergeCell ref="I660:J660"/>
    <mergeCell ref="E661:F661"/>
    <mergeCell ref="G661:H661"/>
    <mergeCell ref="I661:J661"/>
    <mergeCell ref="A668:D668"/>
    <mergeCell ref="E668:F668"/>
    <mergeCell ref="G668:H668"/>
    <mergeCell ref="I668:J668"/>
    <mergeCell ref="E669:F669"/>
    <mergeCell ref="G669:H669"/>
    <mergeCell ref="I669:J669"/>
    <mergeCell ref="A669:D669"/>
    <mergeCell ref="A670:D670"/>
    <mergeCell ref="E670:F670"/>
    <mergeCell ref="G670:H670"/>
    <mergeCell ref="I670:J670"/>
    <mergeCell ref="A671:D671"/>
    <mergeCell ref="E671:F671"/>
    <mergeCell ref="G663:H663"/>
    <mergeCell ref="I663:J663"/>
    <mergeCell ref="A661:D661"/>
    <mergeCell ref="A662:D662"/>
    <mergeCell ref="E662:F662"/>
    <mergeCell ref="G662:H662"/>
    <mergeCell ref="I662:J662"/>
    <mergeCell ref="A663:D663"/>
    <mergeCell ref="E663:F663"/>
    <mergeCell ref="A664:D664"/>
    <mergeCell ref="E664:F664"/>
    <mergeCell ref="G664:H664"/>
    <mergeCell ref="I664:J664"/>
    <mergeCell ref="E665:F665"/>
    <mergeCell ref="G665:H665"/>
    <mergeCell ref="I665:J665"/>
    <mergeCell ref="G667:H667"/>
    <mergeCell ref="I667:J667"/>
    <mergeCell ref="A665:D665"/>
    <mergeCell ref="A666:D666"/>
    <mergeCell ref="E666:F666"/>
    <mergeCell ref="G666:H666"/>
    <mergeCell ref="I666:J666"/>
    <mergeCell ref="A667:D667"/>
    <mergeCell ref="E667:F667"/>
    <mergeCell ref="G671:H671"/>
    <mergeCell ref="I671:J671"/>
    <mergeCell ref="A672:J672"/>
    <mergeCell ref="A673:J673"/>
    <mergeCell ref="A674:J674"/>
    <mergeCell ref="A675:J675"/>
    <mergeCell ref="A676:J706"/>
    <mergeCell ref="A708:G708"/>
    <mergeCell ref="H708:J708"/>
    <mergeCell ref="A719:D719"/>
    <mergeCell ref="E719:F719"/>
    <mergeCell ref="G719:H719"/>
    <mergeCell ref="I719:J719"/>
    <mergeCell ref="E720:F720"/>
    <mergeCell ref="G720:H720"/>
    <mergeCell ref="I720:J720"/>
    <mergeCell ref="A720:D720"/>
    <mergeCell ref="A721:D721"/>
    <mergeCell ref="E721:F721"/>
    <mergeCell ref="G721:H721"/>
    <mergeCell ref="I721:J721"/>
    <mergeCell ref="A722:D722"/>
    <mergeCell ref="E722:F722"/>
    <mergeCell ref="A723:D723"/>
    <mergeCell ref="E723:F723"/>
    <mergeCell ref="G723:H723"/>
    <mergeCell ref="I723:J723"/>
    <mergeCell ref="E724:F724"/>
    <mergeCell ref="G724:H724"/>
    <mergeCell ref="I724:J724"/>
    <mergeCell ref="A724:D724"/>
    <mergeCell ref="A725:D725"/>
    <mergeCell ref="E725:F725"/>
    <mergeCell ref="G725:H725"/>
    <mergeCell ref="I725:J725"/>
    <mergeCell ref="A726:J726"/>
    <mergeCell ref="A727:J727"/>
    <mergeCell ref="A12:D12"/>
    <mergeCell ref="A13:D13"/>
    <mergeCell ref="E13:F13"/>
    <mergeCell ref="G13:H13"/>
    <mergeCell ref="I13:J13"/>
    <mergeCell ref="A14:D14"/>
    <mergeCell ref="E14:F14"/>
    <mergeCell ref="A15:D15"/>
    <mergeCell ref="E15:F15"/>
    <mergeCell ref="G15:H15"/>
    <mergeCell ref="I15:J15"/>
    <mergeCell ref="E16:F16"/>
    <mergeCell ref="G16:H16"/>
    <mergeCell ref="I16:J16"/>
    <mergeCell ref="G18:H18"/>
    <mergeCell ref="I18:J18"/>
    <mergeCell ref="A16:D16"/>
    <mergeCell ref="A17:D17"/>
    <mergeCell ref="E17:F17"/>
    <mergeCell ref="G17:H17"/>
    <mergeCell ref="I17:J17"/>
    <mergeCell ref="A18:D18"/>
    <mergeCell ref="E18:F18"/>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E9:F9"/>
    <mergeCell ref="G9:H9"/>
    <mergeCell ref="I9:J9"/>
    <mergeCell ref="A10:D10"/>
    <mergeCell ref="E10:F10"/>
    <mergeCell ref="A11:D11"/>
    <mergeCell ref="E11:F11"/>
    <mergeCell ref="G11:H11"/>
    <mergeCell ref="I11:J11"/>
    <mergeCell ref="E12:F12"/>
    <mergeCell ref="G12:H12"/>
    <mergeCell ref="I12:J12"/>
    <mergeCell ref="G14:H14"/>
    <mergeCell ref="I14:J14"/>
    <mergeCell ref="A19:J19"/>
    <mergeCell ref="A20:J20"/>
    <mergeCell ref="A21:J21"/>
    <mergeCell ref="A22:J22"/>
    <mergeCell ref="A23:J54"/>
    <mergeCell ref="A56:G56"/>
    <mergeCell ref="H56:J56"/>
    <mergeCell ref="A67:D67"/>
    <mergeCell ref="E67:F67"/>
    <mergeCell ref="G67:H67"/>
    <mergeCell ref="I67:J67"/>
    <mergeCell ref="E68:F68"/>
    <mergeCell ref="G68:H68"/>
    <mergeCell ref="I68:J68"/>
    <mergeCell ref="A68:D68"/>
    <mergeCell ref="A69:D69"/>
    <mergeCell ref="E69:F69"/>
    <mergeCell ref="G69:H69"/>
    <mergeCell ref="I69:J69"/>
    <mergeCell ref="A70:D70"/>
    <mergeCell ref="E70:F70"/>
    <mergeCell ref="A71:D71"/>
    <mergeCell ref="E71:F71"/>
    <mergeCell ref="G71:H71"/>
    <mergeCell ref="I71:J71"/>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G62:H62"/>
    <mergeCell ref="I62:J62"/>
    <mergeCell ref="A58:J58"/>
    <mergeCell ref="A59:D59"/>
    <mergeCell ref="E59:J60"/>
    <mergeCell ref="A60:D60"/>
    <mergeCell ref="A61:D61"/>
    <mergeCell ref="E61:J61"/>
    <mergeCell ref="E62:F62"/>
    <mergeCell ref="A63:D63"/>
    <mergeCell ref="E63:F63"/>
    <mergeCell ref="G63:H63"/>
    <mergeCell ref="I63:J63"/>
    <mergeCell ref="E64:F64"/>
    <mergeCell ref="G64:H64"/>
    <mergeCell ref="I64:J64"/>
    <mergeCell ref="G66:H66"/>
    <mergeCell ref="I66:J66"/>
    <mergeCell ref="A64:D64"/>
    <mergeCell ref="A65:D65"/>
    <mergeCell ref="E65:F65"/>
    <mergeCell ref="G65:H65"/>
    <mergeCell ref="I65:J65"/>
    <mergeCell ref="A66:D66"/>
    <mergeCell ref="E66:F66"/>
    <mergeCell ref="G70:H70"/>
    <mergeCell ref="I70:J70"/>
    <mergeCell ref="E117:J117"/>
    <mergeCell ref="E118:F118"/>
    <mergeCell ref="G118:H118"/>
    <mergeCell ref="I118:J118"/>
    <mergeCell ref="E119:F119"/>
    <mergeCell ref="G119:H119"/>
    <mergeCell ref="I119:J119"/>
    <mergeCell ref="A236:D236"/>
    <mergeCell ref="E236:F236"/>
    <mergeCell ref="G236:H236"/>
    <mergeCell ref="I236:J236"/>
    <mergeCell ref="E237:F237"/>
    <mergeCell ref="G237:H237"/>
    <mergeCell ref="I237:J237"/>
    <mergeCell ref="A237:D237"/>
    <mergeCell ref="A238:D238"/>
    <mergeCell ref="E238:F238"/>
    <mergeCell ref="G238:H238"/>
    <mergeCell ref="I238:J238"/>
    <mergeCell ref="A239:D239"/>
    <mergeCell ref="E239:F239"/>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G233:H233"/>
    <mergeCell ref="I233:J233"/>
    <mergeCell ref="G235:H235"/>
    <mergeCell ref="I235:J235"/>
    <mergeCell ref="A233:D233"/>
    <mergeCell ref="A234:D234"/>
    <mergeCell ref="E234:F234"/>
    <mergeCell ref="G234:H234"/>
    <mergeCell ref="I234:J234"/>
    <mergeCell ref="A235:D235"/>
    <mergeCell ref="E235:F235"/>
    <mergeCell ref="G239:H239"/>
    <mergeCell ref="I239:J239"/>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9:H129"/>
    <mergeCell ref="I129:J129"/>
    <mergeCell ref="A130:J130"/>
    <mergeCell ref="A131:J131"/>
    <mergeCell ref="A132:J132"/>
    <mergeCell ref="A133:J133"/>
    <mergeCell ref="A134:J165"/>
    <mergeCell ref="A167:G167"/>
    <mergeCell ref="H167:J167"/>
    <mergeCell ref="A178:D178"/>
    <mergeCell ref="E178:F178"/>
    <mergeCell ref="G178:H178"/>
    <mergeCell ref="I178:J178"/>
    <mergeCell ref="E179:F179"/>
    <mergeCell ref="G179:H179"/>
    <mergeCell ref="I179:J179"/>
    <mergeCell ref="A179:D179"/>
    <mergeCell ref="A180:D180"/>
    <mergeCell ref="E180:F180"/>
    <mergeCell ref="G180:H180"/>
    <mergeCell ref="I180:J180"/>
    <mergeCell ref="A181:D181"/>
    <mergeCell ref="E181:F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G175:H175"/>
    <mergeCell ref="I175:J175"/>
    <mergeCell ref="G177:H177"/>
    <mergeCell ref="I177:J177"/>
    <mergeCell ref="A175:D175"/>
    <mergeCell ref="A176:D176"/>
    <mergeCell ref="E176:F176"/>
    <mergeCell ref="G176:H176"/>
    <mergeCell ref="I176:J176"/>
    <mergeCell ref="A177:D177"/>
    <mergeCell ref="E177:F177"/>
    <mergeCell ref="G181:H181"/>
    <mergeCell ref="I181:J181"/>
    <mergeCell ref="E227:J227"/>
    <mergeCell ref="E228:F228"/>
    <mergeCell ref="G228:H228"/>
    <mergeCell ref="I228:J228"/>
    <mergeCell ref="E229:F229"/>
    <mergeCell ref="G229:H229"/>
    <mergeCell ref="I229:J229"/>
    <mergeCell ref="A288:D288"/>
    <mergeCell ref="E288:F288"/>
    <mergeCell ref="G288:H288"/>
    <mergeCell ref="I288:J288"/>
    <mergeCell ref="E289:F289"/>
    <mergeCell ref="G289:H289"/>
    <mergeCell ref="I289:J289"/>
    <mergeCell ref="A289:D289"/>
    <mergeCell ref="A290:D290"/>
    <mergeCell ref="E290:F290"/>
    <mergeCell ref="G290:H290"/>
    <mergeCell ref="I290:J290"/>
    <mergeCell ref="A291:D291"/>
    <mergeCell ref="E291:F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285:H285"/>
    <mergeCell ref="I285:J285"/>
    <mergeCell ref="G287:H287"/>
    <mergeCell ref="I287:J287"/>
    <mergeCell ref="A285:D285"/>
    <mergeCell ref="A286:D286"/>
    <mergeCell ref="E286:F286"/>
    <mergeCell ref="G286:H286"/>
    <mergeCell ref="I286:J286"/>
    <mergeCell ref="A287:D287"/>
    <mergeCell ref="E287:F287"/>
    <mergeCell ref="G291:H291"/>
    <mergeCell ref="I291:J291"/>
    <mergeCell ref="E335:J335"/>
    <mergeCell ref="E336:F336"/>
    <mergeCell ref="G336:H336"/>
    <mergeCell ref="I336:J336"/>
    <mergeCell ref="E337:F337"/>
    <mergeCell ref="G337:H337"/>
    <mergeCell ref="I337:J337"/>
    <mergeCell ref="A344:D344"/>
    <mergeCell ref="E344:F344"/>
    <mergeCell ref="G344:H344"/>
    <mergeCell ref="I344:J344"/>
    <mergeCell ref="E345:F345"/>
    <mergeCell ref="G345:H345"/>
    <mergeCell ref="I345:J345"/>
    <mergeCell ref="A345:D345"/>
    <mergeCell ref="A346:D346"/>
    <mergeCell ref="E346:F346"/>
    <mergeCell ref="G346:H346"/>
    <mergeCell ref="I346:J346"/>
    <mergeCell ref="A347:D347"/>
    <mergeCell ref="E347:F347"/>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341:H341"/>
    <mergeCell ref="I341:J341"/>
    <mergeCell ref="G343:H343"/>
    <mergeCell ref="I343:J343"/>
    <mergeCell ref="A341:D341"/>
    <mergeCell ref="A342:D342"/>
    <mergeCell ref="E342:F342"/>
    <mergeCell ref="G342:H342"/>
    <mergeCell ref="I342:J342"/>
    <mergeCell ref="A343:D343"/>
    <mergeCell ref="E343:F343"/>
    <mergeCell ref="G347:H347"/>
    <mergeCell ref="I347:J347"/>
    <mergeCell ref="A348:J348"/>
    <mergeCell ref="A349:J349"/>
    <mergeCell ref="A350:J350"/>
    <mergeCell ref="A351:J351"/>
    <mergeCell ref="A352:J382"/>
    <mergeCell ref="A384:G384"/>
    <mergeCell ref="H384:J384"/>
    <mergeCell ref="A395:D395"/>
    <mergeCell ref="E395:F395"/>
    <mergeCell ref="G395:H395"/>
    <mergeCell ref="I395:J395"/>
    <mergeCell ref="E396:F396"/>
    <mergeCell ref="G396:H396"/>
    <mergeCell ref="I396:J396"/>
    <mergeCell ref="A396:D396"/>
    <mergeCell ref="A397:D397"/>
    <mergeCell ref="E397:F397"/>
    <mergeCell ref="G397:H397"/>
    <mergeCell ref="I397:J397"/>
    <mergeCell ref="A398:D398"/>
    <mergeCell ref="E398:F398"/>
    <mergeCell ref="A399:D399"/>
    <mergeCell ref="E399:F399"/>
    <mergeCell ref="G399:H399"/>
    <mergeCell ref="I399:J399"/>
    <mergeCell ref="E400:F400"/>
    <mergeCell ref="G400:H400"/>
    <mergeCell ref="I400:J400"/>
    <mergeCell ref="A400:D400"/>
    <mergeCell ref="A401:D401"/>
    <mergeCell ref="E401:F401"/>
    <mergeCell ref="G401:H401"/>
    <mergeCell ref="I401:J40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G506:H506"/>
    <mergeCell ref="I506:J506"/>
    <mergeCell ref="E551:J551"/>
    <mergeCell ref="E552:F552"/>
    <mergeCell ref="G552:H552"/>
    <mergeCell ref="I552:J552"/>
    <mergeCell ref="E553:F553"/>
    <mergeCell ref="G553:H553"/>
    <mergeCell ref="I553:J553"/>
    <mergeCell ref="A560:D560"/>
    <mergeCell ref="E560:F560"/>
    <mergeCell ref="G560:H560"/>
    <mergeCell ref="I560:J560"/>
    <mergeCell ref="E561:F561"/>
    <mergeCell ref="G561:H561"/>
    <mergeCell ref="I561:J561"/>
    <mergeCell ref="A561:D561"/>
    <mergeCell ref="A562:D562"/>
    <mergeCell ref="E562:F562"/>
    <mergeCell ref="G562:H562"/>
    <mergeCell ref="I562:J562"/>
    <mergeCell ref="A563:D563"/>
    <mergeCell ref="E563:F563"/>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I558:J558"/>
    <mergeCell ref="A559:D559"/>
    <mergeCell ref="E559:F559"/>
    <mergeCell ref="G563:H563"/>
    <mergeCell ref="I563:J563"/>
    <mergeCell ref="A564:J564"/>
    <mergeCell ref="A565:J565"/>
    <mergeCell ref="A566:J566"/>
    <mergeCell ref="A567:J567"/>
    <mergeCell ref="A568:J598"/>
    <mergeCell ref="A600:G600"/>
    <mergeCell ref="H600:J600"/>
    <mergeCell ref="A441:D441"/>
    <mergeCell ref="A442:D442"/>
    <mergeCell ref="A443:D443"/>
    <mergeCell ref="A404:J404"/>
    <mergeCell ref="A405:J405"/>
    <mergeCell ref="A406:J436"/>
    <mergeCell ref="A438:G438"/>
    <mergeCell ref="H438:J438"/>
    <mergeCell ref="A440:J440"/>
    <mergeCell ref="E441:J442"/>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2:F392"/>
    <mergeCell ref="G392:H392"/>
    <mergeCell ref="I392:J392"/>
    <mergeCell ref="G394:H394"/>
    <mergeCell ref="I394:J394"/>
    <mergeCell ref="A392:D392"/>
    <mergeCell ref="A393:D393"/>
    <mergeCell ref="E393:F393"/>
    <mergeCell ref="G393:H393"/>
    <mergeCell ref="I393:J393"/>
    <mergeCell ref="A394:D394"/>
    <mergeCell ref="E394:F394"/>
    <mergeCell ref="G398:H398"/>
    <mergeCell ref="I398:J398"/>
    <mergeCell ref="E443:J443"/>
    <mergeCell ref="E444:F444"/>
    <mergeCell ref="G444:H444"/>
    <mergeCell ref="I444:J444"/>
    <mergeCell ref="E445:F445"/>
    <mergeCell ref="G445:H445"/>
    <mergeCell ref="I445:J445"/>
    <mergeCell ref="A452:D452"/>
    <mergeCell ref="E452:F452"/>
    <mergeCell ref="G452:H452"/>
    <mergeCell ref="I452:J452"/>
    <mergeCell ref="E453:F453"/>
    <mergeCell ref="G453:H453"/>
    <mergeCell ref="I453:J453"/>
    <mergeCell ref="A453:D453"/>
    <mergeCell ref="A454:D454"/>
    <mergeCell ref="E454:F454"/>
    <mergeCell ref="G454:H454"/>
    <mergeCell ref="I454:J454"/>
    <mergeCell ref="A455:D455"/>
    <mergeCell ref="E455:F455"/>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G449:H449"/>
    <mergeCell ref="I449:J449"/>
    <mergeCell ref="G451:H451"/>
    <mergeCell ref="I451:J451"/>
    <mergeCell ref="A449:D449"/>
    <mergeCell ref="A450:D450"/>
    <mergeCell ref="E450:F450"/>
    <mergeCell ref="G450:H450"/>
    <mergeCell ref="I450:J450"/>
    <mergeCell ref="A451:D451"/>
    <mergeCell ref="E451:F451"/>
    <mergeCell ref="G455:H455"/>
    <mergeCell ref="I455:J455"/>
    <mergeCell ref="A456:J456"/>
    <mergeCell ref="A457:J457"/>
    <mergeCell ref="A458:J458"/>
    <mergeCell ref="A459:J459"/>
    <mergeCell ref="A460:J490"/>
    <mergeCell ref="A492:G492"/>
    <mergeCell ref="H492:J492"/>
    <mergeCell ref="A503:D503"/>
    <mergeCell ref="E503:F503"/>
    <mergeCell ref="G503:H503"/>
    <mergeCell ref="I503:J503"/>
    <mergeCell ref="E504:F504"/>
    <mergeCell ref="G504:H504"/>
    <mergeCell ref="I504:J504"/>
    <mergeCell ref="A504:D504"/>
    <mergeCell ref="A505:D505"/>
    <mergeCell ref="E505:F505"/>
    <mergeCell ref="G505:H505"/>
    <mergeCell ref="I505:J505"/>
    <mergeCell ref="A506:D506"/>
    <mergeCell ref="E506:F506"/>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10:J510"/>
    <mergeCell ref="A511:J511"/>
    <mergeCell ref="A611:D611"/>
    <mergeCell ref="E611:F611"/>
    <mergeCell ref="G611:H611"/>
    <mergeCell ref="I611:J611"/>
    <mergeCell ref="E612:F612"/>
    <mergeCell ref="G612:H612"/>
    <mergeCell ref="I612:J612"/>
    <mergeCell ref="A612:D612"/>
    <mergeCell ref="A613:D613"/>
    <mergeCell ref="E613:F613"/>
    <mergeCell ref="G613:H613"/>
    <mergeCell ref="I613:J613"/>
    <mergeCell ref="A614:D614"/>
    <mergeCell ref="E614:F614"/>
  </mergeCells>
  <dataValidations>
    <dataValidation type="list" allowBlank="1" showInputMessage="1" showErrorMessage="1" prompt="Please select from drop down list." sqref="E282 E335 E389 E443 E497 E551 E605 E659 E713 E767">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formula1>0.0</formula1>
      <formula2>5.0E7</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formula1>AND(GTE(LEN(A15),MIN((1),(35))),LTE(LEN(A15),MAX((1),(35))))</formula1>
    </dataValidation>
    <dataValidation type="list" allowBlank="1" showInputMessage="1" showErrorMessage="1" prompt="Please select from the drop down list." sqref="E6 E61 E117 E172 E227">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formula1>0.0</formula1>
      <formula2>5.0E7</formula2>
    </dataValidation>
  </dataValidations>
  <printOptions/>
  <pageMargins bottom="0.75" footer="0.0" header="0.0" left="0.7" right="0.7" top="0.75"/>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6.5"/>
    <col customWidth="1" min="2" max="4" width="8.88"/>
    <col customWidth="1" min="5" max="5" width="7.63"/>
    <col customWidth="1" min="6" max="6" width="6.5"/>
    <col customWidth="1" min="7" max="7" width="5.63"/>
    <col customWidth="1" min="8" max="26" width="8.88"/>
  </cols>
  <sheetData>
    <row r="1" ht="36.0" customHeight="1">
      <c r="A1" s="238" t="s">
        <v>239</v>
      </c>
      <c r="B1" s="239"/>
      <c r="C1" s="239"/>
      <c r="D1" s="239"/>
      <c r="E1" s="239"/>
      <c r="F1" s="239"/>
      <c r="G1" s="239"/>
      <c r="H1" s="239"/>
      <c r="I1" s="239"/>
      <c r="J1" s="240"/>
      <c r="K1" s="241"/>
      <c r="L1" s="241"/>
      <c r="M1" s="241"/>
      <c r="N1" s="241"/>
      <c r="O1" s="241"/>
      <c r="P1" s="241"/>
      <c r="Q1" s="241"/>
      <c r="R1" s="241"/>
      <c r="S1" s="241"/>
      <c r="T1" s="241"/>
      <c r="U1" s="241"/>
      <c r="V1" s="241"/>
      <c r="W1" s="241"/>
      <c r="X1" s="241"/>
      <c r="Y1" s="241"/>
      <c r="Z1" s="241"/>
    </row>
    <row r="2" ht="12.75" customHeight="1"/>
    <row r="3" ht="12.75" customHeight="1">
      <c r="A3" s="127" t="s">
        <v>26</v>
      </c>
      <c r="B3" s="43"/>
      <c r="C3" s="43"/>
      <c r="D3" s="43"/>
      <c r="E3" s="43"/>
      <c r="F3" s="43"/>
      <c r="G3" s="75"/>
      <c r="H3" s="242" t="str">
        <f>'CONTACT INFORMATION'!$A$24</f>
        <v>Amador</v>
      </c>
      <c r="I3" s="43"/>
      <c r="J3" s="44"/>
    </row>
    <row r="4" ht="12.75" customHeight="1">
      <c r="A4" s="78"/>
      <c r="B4" s="78"/>
      <c r="C4" s="78"/>
      <c r="D4" s="78"/>
      <c r="E4" s="78"/>
      <c r="F4" s="78"/>
      <c r="G4" s="78"/>
      <c r="H4" s="79"/>
      <c r="I4" s="79"/>
      <c r="J4" s="79"/>
    </row>
    <row r="5" ht="12.75" customHeight="1">
      <c r="A5" s="129"/>
      <c r="B5" s="129"/>
      <c r="C5" s="129"/>
      <c r="D5" s="129"/>
      <c r="E5" s="129"/>
      <c r="F5" s="129"/>
      <c r="G5" s="129"/>
      <c r="H5" s="129"/>
      <c r="I5" s="129"/>
      <c r="J5" s="129"/>
    </row>
    <row r="6" ht="73.5" customHeight="1">
      <c r="A6" s="243" t="s">
        <v>240</v>
      </c>
      <c r="B6" s="56"/>
      <c r="C6" s="56"/>
      <c r="D6" s="56"/>
      <c r="E6" s="56"/>
      <c r="F6" s="56"/>
      <c r="G6" s="56"/>
      <c r="H6" s="56"/>
      <c r="I6" s="56"/>
      <c r="J6" s="244"/>
    </row>
    <row r="7" ht="12.75" customHeight="1"/>
    <row r="8" ht="12.75" customHeight="1"/>
    <row r="9" ht="22.5" customHeight="1">
      <c r="A9" s="245" t="s">
        <v>241</v>
      </c>
      <c r="C9" s="31"/>
      <c r="D9" s="246" t="s">
        <v>36</v>
      </c>
      <c r="G9" s="245" t="s">
        <v>242</v>
      </c>
      <c r="I9" s="31"/>
      <c r="J9" s="246" t="s">
        <v>36</v>
      </c>
    </row>
    <row r="10" ht="12.75" customHeight="1">
      <c r="A10" s="188" t="s">
        <v>243</v>
      </c>
      <c r="C10" s="31"/>
      <c r="D10" s="247">
        <f>'REPORT 1'!$I$16</f>
        <v>34</v>
      </c>
      <c r="E10" s="96"/>
      <c r="G10" s="188" t="s">
        <v>243</v>
      </c>
      <c r="I10" s="31"/>
      <c r="J10" s="247">
        <f>'REPORT 1'!$I$27</f>
        <v>34</v>
      </c>
    </row>
    <row r="11" ht="12.75" customHeight="1"/>
    <row r="12" ht="12.75" customHeight="1">
      <c r="A12" s="129"/>
      <c r="B12" s="129"/>
      <c r="C12" s="129"/>
      <c r="D12" s="129"/>
      <c r="E12" s="129"/>
      <c r="F12" s="129"/>
      <c r="G12" s="129"/>
      <c r="H12" s="129"/>
      <c r="I12" s="129"/>
      <c r="J12" s="129"/>
    </row>
    <row r="13" ht="73.5" customHeight="1">
      <c r="A13" s="243" t="s">
        <v>244</v>
      </c>
      <c r="B13" s="56"/>
      <c r="C13" s="56"/>
      <c r="D13" s="56"/>
      <c r="E13" s="56"/>
      <c r="F13" s="56"/>
      <c r="G13" s="56"/>
      <c r="H13" s="56"/>
      <c r="I13" s="56"/>
      <c r="J13" s="244"/>
    </row>
    <row r="14" ht="12.75" customHeight="1"/>
    <row r="15" ht="12.75" customHeight="1"/>
    <row r="16" ht="22.5" customHeight="1">
      <c r="A16" s="245" t="s">
        <v>48</v>
      </c>
      <c r="C16" s="31"/>
      <c r="D16" s="246" t="s">
        <v>36</v>
      </c>
      <c r="G16" s="245" t="s">
        <v>241</v>
      </c>
      <c r="I16" s="31"/>
      <c r="J16" s="246" t="s">
        <v>36</v>
      </c>
    </row>
    <row r="17" ht="12.75" customHeight="1">
      <c r="D17" s="247">
        <f>'REPORT 3'!$J$9</f>
        <v>19</v>
      </c>
      <c r="G17" s="248" t="s">
        <v>243</v>
      </c>
      <c r="I17" s="31"/>
      <c r="J17" s="247">
        <f>'REPORT 3'!$J$34</f>
        <v>17</v>
      </c>
    </row>
    <row r="18" ht="12.75" customHeight="1">
      <c r="A18" s="249"/>
      <c r="B18" s="249"/>
      <c r="C18" s="249"/>
    </row>
    <row r="19" ht="12.75" customHeight="1">
      <c r="A19" s="249"/>
      <c r="B19" s="249"/>
      <c r="C19" s="249"/>
    </row>
    <row r="20" ht="22.5" customHeight="1">
      <c r="A20" s="245" t="s">
        <v>56</v>
      </c>
      <c r="C20" s="31"/>
      <c r="D20" s="246" t="s">
        <v>36</v>
      </c>
      <c r="G20" s="245" t="s">
        <v>242</v>
      </c>
      <c r="I20" s="31"/>
      <c r="J20" s="246" t="s">
        <v>36</v>
      </c>
    </row>
    <row r="21" ht="12.75" customHeight="1">
      <c r="A21" s="188"/>
      <c r="C21" s="31"/>
      <c r="D21" s="247">
        <f>'REPORT 3'!$J$26</f>
        <v>7</v>
      </c>
      <c r="G21" s="248" t="s">
        <v>243</v>
      </c>
      <c r="I21" s="31"/>
      <c r="J21" s="247">
        <f>'REPORT 3'!$J$44</f>
        <v>16</v>
      </c>
    </row>
    <row r="22" ht="12.75" customHeight="1">
      <c r="A22" s="249"/>
      <c r="B22" s="249"/>
      <c r="C22" s="249"/>
    </row>
    <row r="23" ht="12.75" customHeight="1"/>
    <row r="24" ht="70.5" customHeight="1">
      <c r="A24" s="250" t="s">
        <v>245</v>
      </c>
      <c r="B24" s="56"/>
      <c r="C24" s="56"/>
      <c r="D24" s="56"/>
      <c r="E24" s="56"/>
      <c r="F24" s="56"/>
      <c r="G24" s="56"/>
      <c r="H24" s="56"/>
      <c r="I24" s="56"/>
      <c r="J24" s="244"/>
    </row>
    <row r="25" ht="12.75" customHeight="1"/>
    <row r="26" ht="12.75" customHeight="1"/>
    <row r="27" ht="22.5" customHeight="1">
      <c r="A27" s="245" t="s">
        <v>72</v>
      </c>
      <c r="D27" s="251" t="s">
        <v>36</v>
      </c>
      <c r="G27" s="245" t="s">
        <v>241</v>
      </c>
      <c r="I27" s="31"/>
      <c r="J27" s="251" t="s">
        <v>36</v>
      </c>
    </row>
    <row r="28" ht="15.0" customHeight="1">
      <c r="D28" s="247">
        <f>'ARREST REPORT'!$G$12</f>
        <v>11</v>
      </c>
      <c r="G28" s="248" t="s">
        <v>243</v>
      </c>
      <c r="I28" s="31"/>
      <c r="J28" s="247">
        <f>'ARREST REPORT'!$G$18</f>
        <v>11</v>
      </c>
    </row>
    <row r="29" ht="12.75" customHeight="1"/>
    <row r="30" ht="12.75" customHeight="1"/>
    <row r="31" ht="12.75" customHeight="1">
      <c r="G31" s="245" t="s">
        <v>242</v>
      </c>
      <c r="I31" s="31"/>
      <c r="J31" s="251" t="s">
        <v>36</v>
      </c>
    </row>
    <row r="32" ht="12.75" customHeight="1">
      <c r="G32" s="248" t="s">
        <v>243</v>
      </c>
      <c r="I32" s="31"/>
      <c r="J32" s="247">
        <f>'ARREST REPORT'!$G$26</f>
        <v>11</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A10:C10"/>
    <mergeCell ref="G20:I20"/>
    <mergeCell ref="G21:I21"/>
    <mergeCell ref="G27:I27"/>
    <mergeCell ref="G28:I28"/>
    <mergeCell ref="G31:I31"/>
    <mergeCell ref="G32:I32"/>
    <mergeCell ref="A21:C21"/>
    <mergeCell ref="A27:C27"/>
    <mergeCell ref="G10:I10"/>
    <mergeCell ref="A13:J13"/>
    <mergeCell ref="A16:C16"/>
    <mergeCell ref="G16:I16"/>
    <mergeCell ref="G17:I17"/>
    <mergeCell ref="A20:C20"/>
    <mergeCell ref="A24:J24"/>
  </mergeCells>
  <printOptions horizontalCentered="1"/>
  <pageMargins bottom="0.45" footer="0.0" header="0.0" left="0.45" right="0.45" top="0.45"/>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6.13"/>
    <col customWidth="1" min="2" max="26" width="8.88"/>
  </cols>
  <sheetData>
    <row r="1" ht="13.5" customHeight="1">
      <c r="A1" s="249" t="s">
        <v>87</v>
      </c>
    </row>
    <row r="2" ht="13.5" customHeight="1">
      <c r="A2" s="249" t="s">
        <v>89</v>
      </c>
    </row>
    <row r="3" ht="13.5" customHeight="1">
      <c r="A3" s="249" t="s">
        <v>91</v>
      </c>
    </row>
    <row r="4" ht="13.5" customHeight="1">
      <c r="A4" s="249" t="s">
        <v>93</v>
      </c>
    </row>
    <row r="5" ht="13.5" customHeight="1">
      <c r="A5" s="249" t="s">
        <v>88</v>
      </c>
    </row>
    <row r="6" ht="13.5" customHeight="1">
      <c r="A6" s="249" t="s">
        <v>90</v>
      </c>
    </row>
    <row r="7" ht="13.5" customHeight="1">
      <c r="A7" s="249" t="s">
        <v>92</v>
      </c>
    </row>
    <row r="8" ht="13.5" customHeight="1">
      <c r="A8" s="249" t="s">
        <v>95</v>
      </c>
    </row>
    <row r="9" ht="13.5" customHeight="1">
      <c r="A9" s="249" t="s">
        <v>98</v>
      </c>
    </row>
    <row r="10" ht="13.5" customHeight="1">
      <c r="A10" s="249" t="s">
        <v>100</v>
      </c>
    </row>
    <row r="11" ht="13.5" customHeight="1">
      <c r="A11" s="249" t="s">
        <v>102</v>
      </c>
    </row>
    <row r="12" ht="13.5" customHeight="1">
      <c r="A12" s="249" t="s">
        <v>104</v>
      </c>
    </row>
    <row r="13" ht="13.5" customHeight="1">
      <c r="A13" s="249" t="s">
        <v>106</v>
      </c>
    </row>
    <row r="14" ht="13.5" customHeight="1">
      <c r="A14" s="249" t="s">
        <v>108</v>
      </c>
    </row>
    <row r="15" ht="13.5" customHeight="1">
      <c r="A15" s="249" t="s">
        <v>110</v>
      </c>
    </row>
    <row r="16" ht="13.5" customHeight="1">
      <c r="A16" s="249" t="s">
        <v>112</v>
      </c>
    </row>
    <row r="17" ht="13.5" customHeight="1">
      <c r="A17" s="249" t="s">
        <v>114</v>
      </c>
    </row>
    <row r="18" ht="13.5" customHeight="1">
      <c r="A18" s="249" t="s">
        <v>116</v>
      </c>
    </row>
    <row r="19" ht="13.5" customHeight="1">
      <c r="A19" s="249" t="s">
        <v>118</v>
      </c>
    </row>
    <row r="20" ht="13.5" customHeight="1">
      <c r="A20" s="249" t="s">
        <v>120</v>
      </c>
    </row>
    <row r="21" ht="13.5" customHeight="1">
      <c r="A21" s="249" t="s">
        <v>122</v>
      </c>
    </row>
    <row r="22" ht="13.5" customHeight="1">
      <c r="A22" s="249" t="s">
        <v>124</v>
      </c>
    </row>
    <row r="23" ht="13.5" customHeight="1">
      <c r="A23" s="249" t="s">
        <v>126</v>
      </c>
    </row>
    <row r="24" ht="13.5" customHeight="1">
      <c r="A24" s="249" t="s">
        <v>128</v>
      </c>
    </row>
    <row r="25" ht="13.5" customHeight="1">
      <c r="A25" s="249" t="s">
        <v>130</v>
      </c>
    </row>
    <row r="26" ht="13.5" customHeight="1">
      <c r="A26" s="249" t="s">
        <v>246</v>
      </c>
    </row>
    <row r="27" ht="13.5" customHeight="1">
      <c r="A27" s="249" t="s">
        <v>101</v>
      </c>
    </row>
    <row r="28" ht="13.5" customHeight="1">
      <c r="A28" s="249" t="s">
        <v>103</v>
      </c>
    </row>
    <row r="29" ht="13.5" customHeight="1">
      <c r="A29" s="249" t="s">
        <v>105</v>
      </c>
    </row>
    <row r="30" ht="13.5" customHeight="1">
      <c r="A30" s="249" t="s">
        <v>107</v>
      </c>
    </row>
    <row r="31" ht="13.5" customHeight="1">
      <c r="A31" s="249" t="s">
        <v>109</v>
      </c>
    </row>
    <row r="32" ht="13.5" customHeight="1">
      <c r="A32" s="249" t="s">
        <v>111</v>
      </c>
    </row>
    <row r="33" ht="13.5" customHeight="1">
      <c r="A33" s="249" t="s">
        <v>113</v>
      </c>
    </row>
    <row r="34" ht="13.5" customHeight="1">
      <c r="A34" s="249" t="s">
        <v>115</v>
      </c>
    </row>
    <row r="35" ht="13.5" customHeight="1">
      <c r="A35" s="249" t="s">
        <v>117</v>
      </c>
    </row>
    <row r="36" ht="13.5" customHeight="1">
      <c r="A36" s="249" t="s">
        <v>119</v>
      </c>
    </row>
    <row r="37" ht="13.5" customHeight="1">
      <c r="A37" s="249" t="s">
        <v>121</v>
      </c>
    </row>
    <row r="38" ht="13.5" customHeight="1">
      <c r="A38" s="249" t="s">
        <v>123</v>
      </c>
    </row>
    <row r="39" ht="13.5" customHeight="1">
      <c r="A39" s="249" t="s">
        <v>125</v>
      </c>
    </row>
    <row r="40" ht="13.5" customHeight="1">
      <c r="A40" s="249" t="s">
        <v>127</v>
      </c>
    </row>
    <row r="41" ht="13.5" customHeight="1">
      <c r="A41" s="249" t="s">
        <v>129</v>
      </c>
    </row>
    <row r="42" ht="13.5" customHeight="1">
      <c r="A42" s="249" t="s">
        <v>131</v>
      </c>
    </row>
    <row r="43" ht="13.5" customHeight="1">
      <c r="A43" s="249" t="s">
        <v>132</v>
      </c>
    </row>
    <row r="44" ht="13.5" customHeight="1">
      <c r="A44" s="249" t="s">
        <v>134</v>
      </c>
    </row>
    <row r="45" ht="13.5" customHeight="1">
      <c r="A45" s="249" t="s">
        <v>137</v>
      </c>
    </row>
    <row r="46" ht="13.5" customHeight="1">
      <c r="A46" s="249" t="s">
        <v>140</v>
      </c>
    </row>
    <row r="47" ht="13.5" customHeight="1">
      <c r="A47" s="249" t="s">
        <v>143</v>
      </c>
    </row>
    <row r="48" ht="13.5" customHeight="1">
      <c r="A48" s="249" t="s">
        <v>135</v>
      </c>
    </row>
    <row r="49" ht="13.5" customHeight="1">
      <c r="A49" s="249" t="s">
        <v>138</v>
      </c>
    </row>
    <row r="50" ht="13.5" customHeight="1">
      <c r="A50" s="249" t="s">
        <v>247</v>
      </c>
    </row>
    <row r="51" ht="13.5" customHeight="1">
      <c r="A51" s="249"/>
    </row>
    <row r="52" ht="13.5" customHeight="1">
      <c r="A52" s="249"/>
    </row>
    <row r="53" ht="13.5" customHeight="1">
      <c r="A53" s="249"/>
    </row>
    <row r="54" ht="13.5" customHeight="1">
      <c r="A54" s="249"/>
    </row>
    <row r="55" ht="13.5" customHeight="1">
      <c r="A55" s="249"/>
    </row>
    <row r="56" ht="13.5" customHeight="1">
      <c r="A56" s="249"/>
    </row>
    <row r="57" ht="13.5" customHeight="1">
      <c r="A57" s="249"/>
    </row>
    <row r="58" ht="13.5" customHeight="1">
      <c r="A58" s="249"/>
    </row>
    <row r="59" ht="13.5" customHeight="1">
      <c r="A59" s="249"/>
    </row>
    <row r="60" ht="13.5" customHeight="1">
      <c r="A60" s="249"/>
    </row>
    <row r="61" ht="13.5" customHeight="1">
      <c r="A61" s="249"/>
    </row>
    <row r="62" ht="13.5" customHeight="1">
      <c r="A62" s="249"/>
    </row>
    <row r="63" ht="13.5" customHeight="1">
      <c r="A63" s="249"/>
    </row>
    <row r="64" ht="13.5" customHeight="1">
      <c r="A64" s="249"/>
    </row>
    <row r="65" ht="13.5" customHeight="1">
      <c r="A65" s="249"/>
    </row>
    <row r="66" ht="13.5" customHeight="1">
      <c r="A66" s="249"/>
    </row>
    <row r="67" ht="13.5" customHeight="1">
      <c r="A67" s="249"/>
    </row>
    <row r="68" ht="13.5" customHeight="1">
      <c r="A68" s="249"/>
    </row>
    <row r="69" ht="13.5" customHeight="1">
      <c r="A69" s="249"/>
    </row>
    <row r="70" ht="13.5" customHeight="1">
      <c r="A70" s="249"/>
    </row>
    <row r="71" ht="13.5" customHeight="1">
      <c r="A71" s="249"/>
    </row>
    <row r="72" ht="13.5" customHeight="1">
      <c r="A72" s="249"/>
    </row>
    <row r="73" ht="13.5" customHeight="1">
      <c r="A73" s="249"/>
    </row>
    <row r="74" ht="13.5" customHeight="1">
      <c r="A74" s="249"/>
    </row>
    <row r="75" ht="13.5" customHeight="1">
      <c r="A75" s="249"/>
    </row>
    <row r="76" ht="13.5" customHeight="1">
      <c r="A76" s="249"/>
    </row>
    <row r="77" ht="13.5" customHeight="1">
      <c r="A77" s="249"/>
    </row>
    <row r="78" ht="13.5" customHeight="1">
      <c r="A78" s="249"/>
    </row>
    <row r="79" ht="13.5" customHeight="1">
      <c r="A79" s="249"/>
    </row>
    <row r="80" ht="13.5" customHeight="1">
      <c r="A80" s="249"/>
    </row>
    <row r="81" ht="13.5" customHeight="1">
      <c r="A81" s="249"/>
    </row>
    <row r="82" ht="13.5" customHeight="1">
      <c r="A82" s="249"/>
    </row>
    <row r="83" ht="13.5" customHeight="1">
      <c r="A83" s="249"/>
    </row>
    <row r="84" ht="13.5" customHeight="1">
      <c r="A84" s="249"/>
    </row>
    <row r="85" ht="13.5" customHeight="1">
      <c r="A85" s="249"/>
    </row>
    <row r="86" ht="13.5" customHeight="1">
      <c r="A86" s="249"/>
    </row>
    <row r="87" ht="13.5" customHeight="1">
      <c r="A87" s="249"/>
    </row>
    <row r="88" ht="13.5" customHeight="1">
      <c r="A88" s="249"/>
    </row>
    <row r="89" ht="13.5" customHeight="1">
      <c r="A89" s="249"/>
    </row>
    <row r="90" ht="13.5" customHeight="1">
      <c r="A90" s="249"/>
    </row>
    <row r="91" ht="13.5" customHeight="1">
      <c r="A91" s="249"/>
    </row>
    <row r="92" ht="13.5" customHeight="1">
      <c r="A92" s="249"/>
    </row>
    <row r="93" ht="13.5" customHeight="1">
      <c r="A93" s="249"/>
    </row>
    <row r="94" ht="13.5" customHeight="1">
      <c r="A94" s="249"/>
    </row>
    <row r="95" ht="13.5" customHeight="1">
      <c r="A95" s="249"/>
    </row>
    <row r="96" ht="13.5" customHeight="1">
      <c r="A96" s="249"/>
    </row>
    <row r="97" ht="13.5" customHeight="1">
      <c r="A97" s="249"/>
    </row>
    <row r="98" ht="13.5" customHeight="1">
      <c r="A98" s="249"/>
    </row>
    <row r="99" ht="13.5" customHeight="1">
      <c r="A99" s="249"/>
    </row>
    <row r="100" ht="13.5" customHeight="1">
      <c r="A100" s="249"/>
    </row>
    <row r="101" ht="13.5" customHeight="1">
      <c r="A101" s="249"/>
    </row>
    <row r="102" ht="13.5" customHeight="1">
      <c r="A102" s="249"/>
    </row>
    <row r="103" ht="13.5" customHeight="1">
      <c r="A103" s="249"/>
    </row>
    <row r="104" ht="13.5" customHeight="1">
      <c r="A104" s="249"/>
    </row>
    <row r="105" ht="13.5" customHeight="1">
      <c r="A105" s="249"/>
    </row>
    <row r="106" ht="13.5" customHeight="1">
      <c r="A106" s="249"/>
    </row>
    <row r="107" ht="13.5" customHeight="1">
      <c r="A107" s="249"/>
    </row>
    <row r="108" ht="13.5" customHeight="1">
      <c r="A108" s="249"/>
    </row>
    <row r="109" ht="13.5" customHeight="1">
      <c r="A109" s="249"/>
    </row>
    <row r="110" ht="13.5" customHeight="1">
      <c r="A110" s="249"/>
    </row>
    <row r="111" ht="13.5" customHeight="1">
      <c r="A111" s="249"/>
    </row>
    <row r="112" ht="13.5" customHeight="1">
      <c r="A112" s="249"/>
    </row>
    <row r="113" ht="13.5" customHeight="1">
      <c r="A113" s="249"/>
    </row>
    <row r="114" ht="13.5" customHeight="1">
      <c r="A114" s="249"/>
    </row>
    <row r="115" ht="13.5" customHeight="1">
      <c r="A115" s="249"/>
    </row>
    <row r="116" ht="13.5" customHeight="1">
      <c r="A116" s="249"/>
    </row>
    <row r="117" ht="13.5" customHeight="1">
      <c r="A117" s="249"/>
    </row>
    <row r="118" ht="13.5" customHeight="1">
      <c r="A118" s="249"/>
    </row>
    <row r="119" ht="13.5" customHeight="1">
      <c r="A119" s="249"/>
    </row>
    <row r="120" ht="13.5" customHeight="1">
      <c r="A120" s="249"/>
    </row>
    <row r="121" ht="13.5" customHeight="1">
      <c r="A121" s="249"/>
    </row>
    <row r="122" ht="13.5" customHeight="1">
      <c r="A122" s="249"/>
    </row>
    <row r="123" ht="13.5" customHeight="1">
      <c r="A123" s="249"/>
    </row>
    <row r="124" ht="13.5" customHeight="1">
      <c r="A124" s="249"/>
    </row>
    <row r="125" ht="13.5" customHeight="1">
      <c r="A125" s="249"/>
    </row>
    <row r="126" ht="13.5" customHeight="1">
      <c r="A126" s="249"/>
    </row>
    <row r="127" ht="13.5" customHeight="1">
      <c r="A127" s="249"/>
    </row>
    <row r="128" ht="13.5" customHeight="1">
      <c r="A128" s="249"/>
    </row>
    <row r="129" ht="13.5" customHeight="1">
      <c r="A129" s="249"/>
    </row>
    <row r="130" ht="13.5" customHeight="1">
      <c r="A130" s="249"/>
    </row>
    <row r="131" ht="13.5" customHeight="1">
      <c r="A131" s="249"/>
    </row>
    <row r="132" ht="13.5" customHeight="1">
      <c r="A132" s="249"/>
    </row>
    <row r="133" ht="13.5" customHeight="1">
      <c r="A133" s="249"/>
    </row>
    <row r="134" ht="13.5" customHeight="1">
      <c r="A134" s="249"/>
    </row>
    <row r="135" ht="13.5" customHeight="1">
      <c r="A135" s="249"/>
    </row>
    <row r="136" ht="13.5" customHeight="1">
      <c r="A136" s="249"/>
    </row>
    <row r="137" ht="13.5" customHeight="1">
      <c r="A137" s="249"/>
    </row>
    <row r="138" ht="13.5" customHeight="1">
      <c r="A138" s="249"/>
    </row>
    <row r="139" ht="13.5" customHeight="1">
      <c r="A139" s="249"/>
    </row>
    <row r="140" ht="13.5" customHeight="1">
      <c r="A140" s="249"/>
    </row>
    <row r="141" ht="13.5" customHeight="1">
      <c r="A141" s="249"/>
    </row>
    <row r="142" ht="13.5" customHeight="1">
      <c r="A142" s="249"/>
    </row>
    <row r="143" ht="13.5" customHeight="1">
      <c r="A143" s="249"/>
    </row>
    <row r="144" ht="13.5" customHeight="1">
      <c r="A144" s="249"/>
    </row>
    <row r="145" ht="13.5" customHeight="1">
      <c r="A145" s="249"/>
    </row>
    <row r="146" ht="13.5" customHeight="1">
      <c r="A146" s="249"/>
    </row>
    <row r="147" ht="13.5" customHeight="1">
      <c r="A147" s="249"/>
    </row>
    <row r="148" ht="13.5" customHeight="1">
      <c r="A148" s="249"/>
    </row>
    <row r="149" ht="13.5" customHeight="1">
      <c r="A149" s="249"/>
    </row>
    <row r="150" ht="13.5" customHeight="1">
      <c r="A150" s="249"/>
    </row>
    <row r="151" ht="13.5" customHeight="1">
      <c r="A151" s="249"/>
    </row>
    <row r="152" ht="13.5" customHeight="1">
      <c r="A152" s="249"/>
    </row>
    <row r="153" ht="13.5" customHeight="1">
      <c r="A153" s="249"/>
    </row>
    <row r="154" ht="13.5" customHeight="1">
      <c r="A154" s="249"/>
    </row>
    <row r="155" ht="13.5" customHeight="1">
      <c r="A155" s="249"/>
    </row>
    <row r="156" ht="13.5" customHeight="1">
      <c r="A156" s="249"/>
    </row>
    <row r="157" ht="13.5" customHeight="1">
      <c r="A157" s="249"/>
    </row>
    <row r="158" ht="13.5" customHeight="1">
      <c r="A158" s="249"/>
    </row>
    <row r="159" ht="13.5" customHeight="1">
      <c r="A159" s="249"/>
    </row>
    <row r="160" ht="13.5" customHeight="1">
      <c r="A160" s="249"/>
    </row>
    <row r="161" ht="13.5" customHeight="1">
      <c r="A161" s="249"/>
    </row>
    <row r="162" ht="13.5" customHeight="1">
      <c r="A162" s="249"/>
    </row>
    <row r="163" ht="13.5" customHeight="1">
      <c r="A163" s="249"/>
    </row>
    <row r="164" ht="13.5" customHeight="1">
      <c r="A164" s="249"/>
    </row>
    <row r="165" ht="13.5" customHeight="1">
      <c r="A165" s="249"/>
    </row>
    <row r="166" ht="13.5" customHeight="1">
      <c r="A166" s="249"/>
    </row>
    <row r="167" ht="13.5" customHeight="1">
      <c r="A167" s="249"/>
    </row>
    <row r="168" ht="13.5" customHeight="1">
      <c r="A168" s="249"/>
    </row>
    <row r="169" ht="13.5" customHeight="1">
      <c r="A169" s="249"/>
    </row>
    <row r="170" ht="13.5" customHeight="1">
      <c r="A170" s="249"/>
    </row>
    <row r="171" ht="13.5" customHeight="1">
      <c r="A171" s="249"/>
    </row>
    <row r="172" ht="13.5" customHeight="1">
      <c r="A172" s="249"/>
    </row>
    <row r="173" ht="13.5" customHeight="1">
      <c r="A173" s="249"/>
    </row>
    <row r="174" ht="13.5" customHeight="1">
      <c r="A174" s="249"/>
    </row>
    <row r="175" ht="13.5" customHeight="1">
      <c r="A175" s="249"/>
    </row>
    <row r="176" ht="13.5" customHeight="1">
      <c r="A176" s="249"/>
    </row>
    <row r="177" ht="13.5" customHeight="1">
      <c r="A177" s="249"/>
    </row>
    <row r="178" ht="13.5" customHeight="1">
      <c r="A178" s="249"/>
    </row>
    <row r="179" ht="13.5" customHeight="1">
      <c r="A179" s="249"/>
    </row>
    <row r="180" ht="13.5" customHeight="1">
      <c r="A180" s="249"/>
    </row>
    <row r="181" ht="13.5" customHeight="1">
      <c r="A181" s="249"/>
    </row>
    <row r="182" ht="13.5" customHeight="1">
      <c r="A182" s="249"/>
    </row>
    <row r="183" ht="13.5" customHeight="1">
      <c r="A183" s="249"/>
    </row>
    <row r="184" ht="13.5" customHeight="1">
      <c r="A184" s="249"/>
    </row>
    <row r="185" ht="13.5" customHeight="1">
      <c r="A185" s="249"/>
    </row>
    <row r="186" ht="13.5" customHeight="1">
      <c r="A186" s="249"/>
    </row>
    <row r="187" ht="13.5" customHeight="1">
      <c r="A187" s="249"/>
    </row>
    <row r="188" ht="13.5" customHeight="1">
      <c r="A188" s="249"/>
    </row>
    <row r="189" ht="13.5" customHeight="1">
      <c r="A189" s="249"/>
    </row>
    <row r="190" ht="13.5" customHeight="1">
      <c r="A190" s="249"/>
    </row>
    <row r="191" ht="13.5" customHeight="1">
      <c r="A191" s="249"/>
    </row>
    <row r="192" ht="13.5" customHeight="1">
      <c r="A192" s="249"/>
    </row>
    <row r="193" ht="13.5" customHeight="1">
      <c r="A193" s="249"/>
    </row>
    <row r="194" ht="13.5" customHeight="1">
      <c r="A194" s="249"/>
    </row>
    <row r="195" ht="13.5" customHeight="1">
      <c r="A195" s="249"/>
    </row>
    <row r="196" ht="13.5" customHeight="1">
      <c r="A196" s="249"/>
    </row>
    <row r="197" ht="13.5" customHeight="1">
      <c r="A197" s="249"/>
    </row>
    <row r="198" ht="13.5" customHeight="1">
      <c r="A198" s="249"/>
    </row>
    <row r="199" ht="13.5" customHeight="1">
      <c r="A199" s="249"/>
    </row>
    <row r="200" ht="13.5" customHeight="1">
      <c r="A200" s="249"/>
    </row>
    <row r="201" ht="13.5" customHeight="1">
      <c r="A201" s="249"/>
    </row>
    <row r="202" ht="13.5" customHeight="1">
      <c r="A202" s="249"/>
    </row>
    <row r="203" ht="13.5" customHeight="1">
      <c r="A203" s="249"/>
    </row>
    <row r="204" ht="13.5" customHeight="1">
      <c r="A204" s="249"/>
    </row>
    <row r="205" ht="13.5" customHeight="1">
      <c r="A205" s="249"/>
    </row>
    <row r="206" ht="13.5" customHeight="1">
      <c r="A206" s="249"/>
    </row>
    <row r="207" ht="13.5" customHeight="1">
      <c r="A207" s="249"/>
    </row>
    <row r="208" ht="13.5" customHeight="1">
      <c r="A208" s="249"/>
    </row>
    <row r="209" ht="13.5" customHeight="1">
      <c r="A209" s="249"/>
    </row>
    <row r="210" ht="13.5" customHeight="1">
      <c r="A210" s="249"/>
    </row>
    <row r="211" ht="13.5" customHeight="1">
      <c r="A211" s="249"/>
    </row>
    <row r="212" ht="13.5" customHeight="1">
      <c r="A212" s="249"/>
    </row>
    <row r="213" ht="13.5" customHeight="1">
      <c r="A213" s="249"/>
    </row>
    <row r="214" ht="13.5" customHeight="1">
      <c r="A214" s="249"/>
    </row>
    <row r="215" ht="13.5" customHeight="1">
      <c r="A215" s="249"/>
    </row>
    <row r="216" ht="13.5" customHeight="1">
      <c r="A216" s="249"/>
    </row>
    <row r="217" ht="13.5" customHeight="1">
      <c r="A217" s="249"/>
    </row>
    <row r="218" ht="13.5" customHeight="1">
      <c r="A218" s="249"/>
    </row>
    <row r="219" ht="13.5" customHeight="1">
      <c r="A219" s="249"/>
    </row>
    <row r="220" ht="13.5" customHeight="1">
      <c r="A220" s="249"/>
    </row>
    <row r="221" ht="13.5" customHeight="1">
      <c r="A221" s="249"/>
    </row>
    <row r="222" ht="13.5" customHeight="1">
      <c r="A222" s="249"/>
    </row>
    <row r="223" ht="13.5" customHeight="1">
      <c r="A223" s="249"/>
    </row>
    <row r="224" ht="13.5" customHeight="1">
      <c r="A224" s="249"/>
    </row>
    <row r="225" ht="13.5" customHeight="1">
      <c r="A225" s="249"/>
    </row>
    <row r="226" ht="13.5" customHeight="1">
      <c r="A226" s="249"/>
    </row>
    <row r="227" ht="13.5" customHeight="1">
      <c r="A227" s="249"/>
    </row>
    <row r="228" ht="13.5" customHeight="1">
      <c r="A228" s="249"/>
    </row>
    <row r="229" ht="13.5" customHeight="1">
      <c r="A229" s="249"/>
    </row>
    <row r="230" ht="13.5" customHeight="1">
      <c r="A230" s="249"/>
    </row>
    <row r="231" ht="13.5" customHeight="1">
      <c r="A231" s="249"/>
    </row>
    <row r="232" ht="13.5" customHeight="1">
      <c r="A232" s="249"/>
    </row>
    <row r="233" ht="13.5" customHeight="1">
      <c r="A233" s="249"/>
    </row>
    <row r="234" ht="13.5" customHeight="1">
      <c r="A234" s="249"/>
    </row>
    <row r="235" ht="13.5" customHeight="1">
      <c r="A235" s="249"/>
    </row>
    <row r="236" ht="13.5" customHeight="1">
      <c r="A236" s="249"/>
    </row>
    <row r="237" ht="13.5" customHeight="1">
      <c r="A237" s="249"/>
    </row>
    <row r="238" ht="13.5" customHeight="1">
      <c r="A238" s="249"/>
    </row>
    <row r="239" ht="13.5" customHeight="1">
      <c r="A239" s="249"/>
    </row>
    <row r="240" ht="13.5" customHeight="1">
      <c r="A240" s="249"/>
    </row>
    <row r="241" ht="13.5" customHeight="1">
      <c r="A241" s="249"/>
    </row>
    <row r="242" ht="13.5" customHeight="1">
      <c r="A242" s="249"/>
    </row>
    <row r="243" ht="13.5" customHeight="1">
      <c r="A243" s="249"/>
    </row>
    <row r="244" ht="13.5" customHeight="1">
      <c r="A244" s="249"/>
    </row>
    <row r="245" ht="13.5" customHeight="1">
      <c r="A245" s="249"/>
    </row>
    <row r="246" ht="13.5" customHeight="1">
      <c r="A246" s="249"/>
    </row>
    <row r="247" ht="13.5" customHeight="1">
      <c r="A247" s="249"/>
    </row>
    <row r="248" ht="13.5" customHeight="1">
      <c r="A248" s="249"/>
    </row>
    <row r="249" ht="13.5" customHeight="1">
      <c r="A249" s="249"/>
    </row>
    <row r="250" ht="13.5" customHeight="1">
      <c r="A250" s="249"/>
    </row>
    <row r="251" ht="13.5" customHeight="1">
      <c r="A251" s="249"/>
    </row>
    <row r="252" ht="13.5" customHeight="1">
      <c r="A252" s="249"/>
    </row>
    <row r="253" ht="13.5" customHeight="1">
      <c r="A253" s="249"/>
    </row>
    <row r="254" ht="13.5" customHeight="1">
      <c r="A254" s="249"/>
    </row>
    <row r="255" ht="13.5" customHeight="1">
      <c r="A255" s="249"/>
    </row>
    <row r="256" ht="13.5" customHeight="1">
      <c r="A256" s="249"/>
    </row>
    <row r="257" ht="13.5" customHeight="1">
      <c r="A257" s="249"/>
    </row>
    <row r="258" ht="13.5" customHeight="1">
      <c r="A258" s="249"/>
    </row>
    <row r="259" ht="13.5" customHeight="1">
      <c r="A259" s="249"/>
    </row>
    <row r="260" ht="13.5" customHeight="1">
      <c r="A260" s="249"/>
    </row>
    <row r="261" ht="13.5" customHeight="1">
      <c r="A261" s="249"/>
    </row>
    <row r="262" ht="13.5" customHeight="1">
      <c r="A262" s="249"/>
    </row>
    <row r="263" ht="13.5" customHeight="1">
      <c r="A263" s="249"/>
    </row>
    <row r="264" ht="13.5" customHeight="1">
      <c r="A264" s="249"/>
    </row>
    <row r="265" ht="13.5" customHeight="1">
      <c r="A265" s="249"/>
    </row>
    <row r="266" ht="13.5" customHeight="1">
      <c r="A266" s="249"/>
    </row>
    <row r="267" ht="13.5" customHeight="1">
      <c r="A267" s="249"/>
    </row>
    <row r="268" ht="13.5" customHeight="1">
      <c r="A268" s="249"/>
    </row>
    <row r="269" ht="13.5" customHeight="1">
      <c r="A269" s="249"/>
    </row>
    <row r="270" ht="13.5" customHeight="1">
      <c r="A270" s="249"/>
    </row>
    <row r="271" ht="13.5" customHeight="1">
      <c r="A271" s="249"/>
    </row>
    <row r="272" ht="13.5" customHeight="1">
      <c r="A272" s="249"/>
    </row>
    <row r="273" ht="13.5" customHeight="1">
      <c r="A273" s="249"/>
    </row>
    <row r="274" ht="13.5" customHeight="1">
      <c r="A274" s="249"/>
    </row>
    <row r="275" ht="13.5" customHeight="1">
      <c r="A275" s="249"/>
    </row>
    <row r="276" ht="13.5" customHeight="1">
      <c r="A276" s="249"/>
    </row>
    <row r="277" ht="13.5" customHeight="1">
      <c r="A277" s="249"/>
    </row>
    <row r="278" ht="13.5" customHeight="1">
      <c r="A278" s="249"/>
    </row>
    <row r="279" ht="13.5" customHeight="1">
      <c r="A279" s="249"/>
    </row>
    <row r="280" ht="13.5" customHeight="1">
      <c r="A280" s="249"/>
    </row>
    <row r="281" ht="13.5" customHeight="1">
      <c r="A281" s="249"/>
    </row>
    <row r="282" ht="13.5" customHeight="1">
      <c r="A282" s="249"/>
    </row>
    <row r="283" ht="13.5" customHeight="1">
      <c r="A283" s="249"/>
    </row>
    <row r="284" ht="13.5" customHeight="1">
      <c r="A284" s="249"/>
    </row>
    <row r="285" ht="13.5" customHeight="1">
      <c r="A285" s="249"/>
    </row>
    <row r="286" ht="13.5" customHeight="1">
      <c r="A286" s="249"/>
    </row>
    <row r="287" ht="13.5" customHeight="1">
      <c r="A287" s="249"/>
    </row>
    <row r="288" ht="13.5" customHeight="1">
      <c r="A288" s="249"/>
    </row>
    <row r="289" ht="13.5" customHeight="1">
      <c r="A289" s="249"/>
    </row>
    <row r="290" ht="13.5" customHeight="1">
      <c r="A290" s="249"/>
    </row>
    <row r="291" ht="13.5" customHeight="1">
      <c r="A291" s="249"/>
    </row>
    <row r="292" ht="13.5" customHeight="1">
      <c r="A292" s="249"/>
    </row>
    <row r="293" ht="13.5" customHeight="1">
      <c r="A293" s="249"/>
    </row>
    <row r="294" ht="13.5" customHeight="1">
      <c r="A294" s="249"/>
    </row>
    <row r="295" ht="13.5" customHeight="1">
      <c r="A295" s="249"/>
    </row>
    <row r="296" ht="13.5" customHeight="1">
      <c r="A296" s="249"/>
    </row>
    <row r="297" ht="13.5" customHeight="1">
      <c r="A297" s="249"/>
    </row>
    <row r="298" ht="13.5" customHeight="1">
      <c r="A298" s="249"/>
    </row>
    <row r="299" ht="13.5" customHeight="1">
      <c r="A299" s="249"/>
    </row>
    <row r="300" ht="13.5" customHeight="1">
      <c r="A300" s="249"/>
    </row>
    <row r="301" ht="13.5" customHeight="1">
      <c r="A301" s="249"/>
    </row>
    <row r="302" ht="13.5" customHeight="1">
      <c r="A302" s="249"/>
    </row>
    <row r="303" ht="13.5" customHeight="1">
      <c r="A303" s="249"/>
    </row>
    <row r="304" ht="13.5" customHeight="1">
      <c r="A304" s="249"/>
    </row>
    <row r="305" ht="13.5" customHeight="1">
      <c r="A305" s="249"/>
    </row>
    <row r="306" ht="13.5" customHeight="1">
      <c r="A306" s="249"/>
    </row>
    <row r="307" ht="13.5" customHeight="1">
      <c r="A307" s="249"/>
    </row>
    <row r="308" ht="13.5" customHeight="1">
      <c r="A308" s="249"/>
    </row>
    <row r="309" ht="13.5" customHeight="1">
      <c r="A309" s="249"/>
    </row>
    <row r="310" ht="13.5" customHeight="1">
      <c r="A310" s="249"/>
    </row>
    <row r="311" ht="13.5" customHeight="1">
      <c r="A311" s="249"/>
    </row>
    <row r="312" ht="13.5" customHeight="1">
      <c r="A312" s="249"/>
    </row>
    <row r="313" ht="13.5" customHeight="1">
      <c r="A313" s="249"/>
    </row>
    <row r="314" ht="13.5" customHeight="1">
      <c r="A314" s="249"/>
    </row>
    <row r="315" ht="13.5" customHeight="1">
      <c r="A315" s="249"/>
    </row>
    <row r="316" ht="13.5" customHeight="1">
      <c r="A316" s="249"/>
    </row>
    <row r="317" ht="13.5" customHeight="1">
      <c r="A317" s="249"/>
    </row>
    <row r="318" ht="13.5" customHeight="1">
      <c r="A318" s="249"/>
    </row>
    <row r="319" ht="13.5" customHeight="1">
      <c r="A319" s="249"/>
    </row>
    <row r="320" ht="13.5" customHeight="1">
      <c r="A320" s="249"/>
    </row>
    <row r="321" ht="13.5" customHeight="1">
      <c r="A321" s="249"/>
    </row>
    <row r="322" ht="13.5" customHeight="1">
      <c r="A322" s="249"/>
    </row>
    <row r="323" ht="13.5" customHeight="1">
      <c r="A323" s="249"/>
    </row>
    <row r="324" ht="13.5" customHeight="1">
      <c r="A324" s="249"/>
    </row>
    <row r="325" ht="13.5" customHeight="1">
      <c r="A325" s="249"/>
    </row>
    <row r="326" ht="13.5" customHeight="1">
      <c r="A326" s="249"/>
    </row>
    <row r="327" ht="13.5" customHeight="1">
      <c r="A327" s="249"/>
    </row>
    <row r="328" ht="13.5" customHeight="1">
      <c r="A328" s="249"/>
    </row>
    <row r="329" ht="13.5" customHeight="1">
      <c r="A329" s="249"/>
    </row>
    <row r="330" ht="13.5" customHeight="1">
      <c r="A330" s="249"/>
    </row>
    <row r="331" ht="13.5" customHeight="1">
      <c r="A331" s="249"/>
    </row>
    <row r="332" ht="13.5" customHeight="1">
      <c r="A332" s="249"/>
    </row>
    <row r="333" ht="13.5" customHeight="1">
      <c r="A333" s="249"/>
    </row>
    <row r="334" ht="13.5" customHeight="1">
      <c r="A334" s="249"/>
    </row>
    <row r="335" ht="13.5" customHeight="1">
      <c r="A335" s="249"/>
    </row>
    <row r="336" ht="13.5" customHeight="1">
      <c r="A336" s="249"/>
    </row>
    <row r="337" ht="13.5" customHeight="1">
      <c r="A337" s="249"/>
    </row>
    <row r="338" ht="13.5" customHeight="1">
      <c r="A338" s="249"/>
    </row>
    <row r="339" ht="13.5" customHeight="1">
      <c r="A339" s="249"/>
    </row>
    <row r="340" ht="13.5" customHeight="1">
      <c r="A340" s="249"/>
    </row>
    <row r="341" ht="13.5" customHeight="1">
      <c r="A341" s="249"/>
    </row>
    <row r="342" ht="13.5" customHeight="1">
      <c r="A342" s="249"/>
    </row>
    <row r="343" ht="13.5" customHeight="1">
      <c r="A343" s="249"/>
    </row>
    <row r="344" ht="13.5" customHeight="1">
      <c r="A344" s="249"/>
    </row>
    <row r="345" ht="13.5" customHeight="1">
      <c r="A345" s="249"/>
    </row>
    <row r="346" ht="13.5" customHeight="1">
      <c r="A346" s="249"/>
    </row>
    <row r="347" ht="13.5" customHeight="1">
      <c r="A347" s="249"/>
    </row>
    <row r="348" ht="13.5" customHeight="1">
      <c r="A348" s="249"/>
    </row>
    <row r="349" ht="13.5" customHeight="1">
      <c r="A349" s="249"/>
    </row>
    <row r="350" ht="13.5" customHeight="1">
      <c r="A350" s="249"/>
    </row>
    <row r="351" ht="13.5" customHeight="1">
      <c r="A351" s="249"/>
    </row>
    <row r="352" ht="13.5" customHeight="1">
      <c r="A352" s="249"/>
    </row>
    <row r="353" ht="13.5" customHeight="1">
      <c r="A353" s="249"/>
    </row>
    <row r="354" ht="13.5" customHeight="1">
      <c r="A354" s="249"/>
    </row>
    <row r="355" ht="13.5" customHeight="1">
      <c r="A355" s="249"/>
    </row>
    <row r="356" ht="13.5" customHeight="1">
      <c r="A356" s="249"/>
    </row>
    <row r="357" ht="13.5" customHeight="1">
      <c r="A357" s="249"/>
    </row>
    <row r="358" ht="13.5" customHeight="1">
      <c r="A358" s="249"/>
    </row>
    <row r="359" ht="13.5" customHeight="1">
      <c r="A359" s="249"/>
    </row>
    <row r="360" ht="13.5" customHeight="1">
      <c r="A360" s="249"/>
    </row>
    <row r="361" ht="13.5" customHeight="1">
      <c r="A361" s="249"/>
    </row>
    <row r="362" ht="13.5" customHeight="1">
      <c r="A362" s="249"/>
    </row>
    <row r="363" ht="13.5" customHeight="1">
      <c r="A363" s="249"/>
    </row>
    <row r="364" ht="13.5" customHeight="1">
      <c r="A364" s="249"/>
    </row>
    <row r="365" ht="13.5" customHeight="1">
      <c r="A365" s="249"/>
    </row>
    <row r="366" ht="13.5" customHeight="1">
      <c r="A366" s="249"/>
    </row>
    <row r="367" ht="13.5" customHeight="1">
      <c r="A367" s="249"/>
    </row>
    <row r="368" ht="13.5" customHeight="1">
      <c r="A368" s="249"/>
    </row>
    <row r="369" ht="13.5" customHeight="1">
      <c r="A369" s="249"/>
    </row>
    <row r="370" ht="13.5" customHeight="1">
      <c r="A370" s="249"/>
    </row>
    <row r="371" ht="13.5" customHeight="1">
      <c r="A371" s="249"/>
    </row>
    <row r="372" ht="13.5" customHeight="1">
      <c r="A372" s="249"/>
    </row>
    <row r="373" ht="13.5" customHeight="1">
      <c r="A373" s="249"/>
    </row>
    <row r="374" ht="13.5" customHeight="1">
      <c r="A374" s="249"/>
    </row>
    <row r="375" ht="13.5" customHeight="1">
      <c r="A375" s="249"/>
    </row>
    <row r="376" ht="13.5" customHeight="1">
      <c r="A376" s="249"/>
    </row>
    <row r="377" ht="13.5" customHeight="1">
      <c r="A377" s="249"/>
    </row>
    <row r="378" ht="13.5" customHeight="1">
      <c r="A378" s="249"/>
    </row>
    <row r="379" ht="13.5" customHeight="1">
      <c r="A379" s="249"/>
    </row>
    <row r="380" ht="13.5" customHeight="1">
      <c r="A380" s="249"/>
    </row>
    <row r="381" ht="13.5" customHeight="1">
      <c r="A381" s="249"/>
    </row>
    <row r="382" ht="13.5" customHeight="1">
      <c r="A382" s="249"/>
    </row>
    <row r="383" ht="13.5" customHeight="1">
      <c r="A383" s="249"/>
    </row>
    <row r="384" ht="13.5" customHeight="1">
      <c r="A384" s="249"/>
    </row>
    <row r="385" ht="13.5" customHeight="1">
      <c r="A385" s="249"/>
    </row>
    <row r="386" ht="13.5" customHeight="1">
      <c r="A386" s="249"/>
    </row>
    <row r="387" ht="13.5" customHeight="1">
      <c r="A387" s="249"/>
    </row>
    <row r="388" ht="13.5" customHeight="1">
      <c r="A388" s="249"/>
    </row>
    <row r="389" ht="13.5" customHeight="1">
      <c r="A389" s="249"/>
    </row>
    <row r="390" ht="13.5" customHeight="1">
      <c r="A390" s="249"/>
    </row>
    <row r="391" ht="13.5" customHeight="1">
      <c r="A391" s="249"/>
    </row>
    <row r="392" ht="13.5" customHeight="1">
      <c r="A392" s="249"/>
    </row>
    <row r="393" ht="13.5" customHeight="1">
      <c r="A393" s="249"/>
    </row>
    <row r="394" ht="13.5" customHeight="1">
      <c r="A394" s="249"/>
    </row>
    <row r="395" ht="13.5" customHeight="1">
      <c r="A395" s="249"/>
    </row>
    <row r="396" ht="13.5" customHeight="1">
      <c r="A396" s="249"/>
    </row>
    <row r="397" ht="13.5" customHeight="1">
      <c r="A397" s="249"/>
    </row>
    <row r="398" ht="13.5" customHeight="1">
      <c r="A398" s="249"/>
    </row>
    <row r="399" ht="13.5" customHeight="1">
      <c r="A399" s="249"/>
    </row>
    <row r="400" ht="13.5" customHeight="1">
      <c r="A400" s="249"/>
    </row>
    <row r="401" ht="13.5" customHeight="1">
      <c r="A401" s="249"/>
    </row>
    <row r="402" ht="13.5" customHeight="1">
      <c r="A402" s="249"/>
    </row>
    <row r="403" ht="13.5" customHeight="1">
      <c r="A403" s="249"/>
    </row>
    <row r="404" ht="13.5" customHeight="1">
      <c r="A404" s="249"/>
    </row>
    <row r="405" ht="13.5" customHeight="1">
      <c r="A405" s="249"/>
    </row>
    <row r="406" ht="13.5" customHeight="1">
      <c r="A406" s="249"/>
    </row>
    <row r="407" ht="13.5" customHeight="1">
      <c r="A407" s="249"/>
    </row>
    <row r="408" ht="13.5" customHeight="1">
      <c r="A408" s="249"/>
    </row>
    <row r="409" ht="13.5" customHeight="1">
      <c r="A409" s="249"/>
    </row>
    <row r="410" ht="13.5" customHeight="1">
      <c r="A410" s="249"/>
    </row>
    <row r="411" ht="13.5" customHeight="1">
      <c r="A411" s="249"/>
    </row>
    <row r="412" ht="13.5" customHeight="1">
      <c r="A412" s="249"/>
    </row>
    <row r="413" ht="13.5" customHeight="1">
      <c r="A413" s="249"/>
    </row>
    <row r="414" ht="13.5" customHeight="1">
      <c r="A414" s="249"/>
    </row>
    <row r="415" ht="13.5" customHeight="1">
      <c r="A415" s="249"/>
    </row>
    <row r="416" ht="13.5" customHeight="1">
      <c r="A416" s="249"/>
    </row>
    <row r="417" ht="13.5" customHeight="1">
      <c r="A417" s="249"/>
    </row>
    <row r="418" ht="13.5" customHeight="1">
      <c r="A418" s="249"/>
    </row>
    <row r="419" ht="13.5" customHeight="1">
      <c r="A419" s="249"/>
    </row>
    <row r="420" ht="13.5" customHeight="1">
      <c r="A420" s="249"/>
    </row>
    <row r="421" ht="13.5" customHeight="1">
      <c r="A421" s="249"/>
    </row>
    <row r="422" ht="13.5" customHeight="1">
      <c r="A422" s="249"/>
    </row>
    <row r="423" ht="13.5" customHeight="1">
      <c r="A423" s="249"/>
    </row>
    <row r="424" ht="13.5" customHeight="1">
      <c r="A424" s="249"/>
    </row>
    <row r="425" ht="13.5" customHeight="1">
      <c r="A425" s="249"/>
    </row>
    <row r="426" ht="13.5" customHeight="1">
      <c r="A426" s="249"/>
    </row>
    <row r="427" ht="13.5" customHeight="1">
      <c r="A427" s="249"/>
    </row>
    <row r="428" ht="13.5" customHeight="1">
      <c r="A428" s="249"/>
    </row>
    <row r="429" ht="13.5" customHeight="1">
      <c r="A429" s="249"/>
    </row>
    <row r="430" ht="13.5" customHeight="1">
      <c r="A430" s="249"/>
    </row>
    <row r="431" ht="13.5" customHeight="1">
      <c r="A431" s="249"/>
    </row>
    <row r="432" ht="13.5" customHeight="1">
      <c r="A432" s="249"/>
    </row>
    <row r="433" ht="13.5" customHeight="1">
      <c r="A433" s="249"/>
    </row>
    <row r="434" ht="13.5" customHeight="1">
      <c r="A434" s="249"/>
    </row>
    <row r="435" ht="13.5" customHeight="1">
      <c r="A435" s="249"/>
    </row>
    <row r="436" ht="13.5" customHeight="1">
      <c r="A436" s="249"/>
    </row>
    <row r="437" ht="13.5" customHeight="1">
      <c r="A437" s="249"/>
    </row>
    <row r="438" ht="13.5" customHeight="1">
      <c r="A438" s="249"/>
    </row>
    <row r="439" ht="13.5" customHeight="1">
      <c r="A439" s="249"/>
    </row>
    <row r="440" ht="13.5" customHeight="1">
      <c r="A440" s="249"/>
    </row>
    <row r="441" ht="13.5" customHeight="1">
      <c r="A441" s="249"/>
    </row>
    <row r="442" ht="13.5" customHeight="1">
      <c r="A442" s="249"/>
    </row>
    <row r="443" ht="13.5" customHeight="1">
      <c r="A443" s="249"/>
    </row>
    <row r="444" ht="13.5" customHeight="1">
      <c r="A444" s="249"/>
    </row>
    <row r="445" ht="13.5" customHeight="1">
      <c r="A445" s="249"/>
    </row>
    <row r="446" ht="13.5" customHeight="1">
      <c r="A446" s="249"/>
    </row>
    <row r="447" ht="13.5" customHeight="1">
      <c r="A447" s="249"/>
    </row>
    <row r="448" ht="13.5" customHeight="1">
      <c r="A448" s="249"/>
    </row>
    <row r="449" ht="13.5" customHeight="1">
      <c r="A449" s="249"/>
    </row>
    <row r="450" ht="13.5" customHeight="1">
      <c r="A450" s="249"/>
    </row>
    <row r="451" ht="13.5" customHeight="1">
      <c r="A451" s="249"/>
    </row>
    <row r="452" ht="13.5" customHeight="1">
      <c r="A452" s="249"/>
    </row>
    <row r="453" ht="13.5" customHeight="1">
      <c r="A453" s="249"/>
    </row>
    <row r="454" ht="13.5" customHeight="1">
      <c r="A454" s="249"/>
    </row>
    <row r="455" ht="13.5" customHeight="1">
      <c r="A455" s="249"/>
    </row>
    <row r="456" ht="13.5" customHeight="1">
      <c r="A456" s="249"/>
    </row>
    <row r="457" ht="13.5" customHeight="1">
      <c r="A457" s="249"/>
    </row>
    <row r="458" ht="13.5" customHeight="1">
      <c r="A458" s="249"/>
    </row>
    <row r="459" ht="13.5" customHeight="1">
      <c r="A459" s="249"/>
    </row>
    <row r="460" ht="13.5" customHeight="1">
      <c r="A460" s="249"/>
    </row>
    <row r="461" ht="13.5" customHeight="1">
      <c r="A461" s="249"/>
    </row>
    <row r="462" ht="13.5" customHeight="1">
      <c r="A462" s="249"/>
    </row>
    <row r="463" ht="13.5" customHeight="1">
      <c r="A463" s="249"/>
    </row>
    <row r="464" ht="13.5" customHeight="1">
      <c r="A464" s="249"/>
    </row>
    <row r="465" ht="13.5" customHeight="1">
      <c r="A465" s="249"/>
    </row>
    <row r="466" ht="13.5" customHeight="1">
      <c r="A466" s="249"/>
    </row>
    <row r="467" ht="13.5" customHeight="1">
      <c r="A467" s="249"/>
    </row>
    <row r="468" ht="13.5" customHeight="1">
      <c r="A468" s="249"/>
    </row>
    <row r="469" ht="13.5" customHeight="1">
      <c r="A469" s="249"/>
    </row>
    <row r="470" ht="13.5" customHeight="1">
      <c r="A470" s="249"/>
    </row>
    <row r="471" ht="13.5" customHeight="1">
      <c r="A471" s="249"/>
    </row>
    <row r="472" ht="13.5" customHeight="1">
      <c r="A472" s="249"/>
    </row>
    <row r="473" ht="13.5" customHeight="1">
      <c r="A473" s="249"/>
    </row>
    <row r="474" ht="13.5" customHeight="1">
      <c r="A474" s="249"/>
    </row>
    <row r="475" ht="13.5" customHeight="1">
      <c r="A475" s="249"/>
    </row>
    <row r="476" ht="13.5" customHeight="1">
      <c r="A476" s="249"/>
    </row>
    <row r="477" ht="13.5" customHeight="1">
      <c r="A477" s="249"/>
    </row>
    <row r="478" ht="13.5" customHeight="1">
      <c r="A478" s="249"/>
    </row>
    <row r="479" ht="13.5" customHeight="1">
      <c r="A479" s="249"/>
    </row>
    <row r="480" ht="13.5" customHeight="1">
      <c r="A480" s="249"/>
    </row>
    <row r="481" ht="13.5" customHeight="1">
      <c r="A481" s="249"/>
    </row>
    <row r="482" ht="13.5" customHeight="1">
      <c r="A482" s="249"/>
    </row>
    <row r="483" ht="13.5" customHeight="1">
      <c r="A483" s="249"/>
    </row>
    <row r="484" ht="13.5" customHeight="1">
      <c r="A484" s="249"/>
    </row>
    <row r="485" ht="13.5" customHeight="1">
      <c r="A485" s="249"/>
    </row>
    <row r="486" ht="13.5" customHeight="1">
      <c r="A486" s="249"/>
    </row>
    <row r="487" ht="13.5" customHeight="1">
      <c r="A487" s="249"/>
    </row>
    <row r="488" ht="13.5" customHeight="1">
      <c r="A488" s="249"/>
    </row>
    <row r="489" ht="13.5" customHeight="1">
      <c r="A489" s="249"/>
    </row>
    <row r="490" ht="13.5" customHeight="1">
      <c r="A490" s="249"/>
    </row>
    <row r="491" ht="13.5" customHeight="1">
      <c r="A491" s="249"/>
    </row>
    <row r="492" ht="13.5" customHeight="1">
      <c r="A492" s="249"/>
    </row>
    <row r="493" ht="13.5" customHeight="1">
      <c r="A493" s="249"/>
    </row>
    <row r="494" ht="13.5" customHeight="1">
      <c r="A494" s="249"/>
    </row>
    <row r="495" ht="13.5" customHeight="1">
      <c r="A495" s="249"/>
    </row>
    <row r="496" ht="13.5" customHeight="1">
      <c r="A496" s="249"/>
    </row>
    <row r="497" ht="13.5" customHeight="1">
      <c r="A497" s="249"/>
    </row>
    <row r="498" ht="13.5" customHeight="1">
      <c r="A498" s="249"/>
    </row>
    <row r="499" ht="13.5" customHeight="1">
      <c r="A499" s="249"/>
    </row>
    <row r="500" ht="13.5" customHeight="1">
      <c r="A500" s="249"/>
    </row>
    <row r="501" ht="13.5" customHeight="1">
      <c r="A501" s="249"/>
    </row>
    <row r="502" ht="13.5" customHeight="1">
      <c r="A502" s="249"/>
    </row>
    <row r="503" ht="13.5" customHeight="1">
      <c r="A503" s="249"/>
    </row>
    <row r="504" ht="13.5" customHeight="1">
      <c r="A504" s="249"/>
    </row>
    <row r="505" ht="13.5" customHeight="1">
      <c r="A505" s="249"/>
    </row>
    <row r="506" ht="13.5" customHeight="1">
      <c r="A506" s="249"/>
    </row>
    <row r="507" ht="13.5" customHeight="1">
      <c r="A507" s="249"/>
    </row>
    <row r="508" ht="13.5" customHeight="1">
      <c r="A508" s="249"/>
    </row>
    <row r="509" ht="13.5" customHeight="1">
      <c r="A509" s="249"/>
    </row>
    <row r="510" ht="13.5" customHeight="1">
      <c r="A510" s="249"/>
    </row>
    <row r="511" ht="13.5" customHeight="1">
      <c r="A511" s="249"/>
    </row>
    <row r="512" ht="13.5" customHeight="1">
      <c r="A512" s="249"/>
    </row>
    <row r="513" ht="13.5" customHeight="1">
      <c r="A513" s="249"/>
    </row>
    <row r="514" ht="13.5" customHeight="1">
      <c r="A514" s="249"/>
    </row>
    <row r="515" ht="13.5" customHeight="1">
      <c r="A515" s="249"/>
    </row>
    <row r="516" ht="13.5" customHeight="1">
      <c r="A516" s="249"/>
    </row>
    <row r="517" ht="13.5" customHeight="1">
      <c r="A517" s="249"/>
    </row>
    <row r="518" ht="13.5" customHeight="1">
      <c r="A518" s="249"/>
    </row>
    <row r="519" ht="13.5" customHeight="1">
      <c r="A519" s="249"/>
    </row>
    <row r="520" ht="13.5" customHeight="1">
      <c r="A520" s="249"/>
    </row>
    <row r="521" ht="13.5" customHeight="1">
      <c r="A521" s="249"/>
    </row>
    <row r="522" ht="13.5" customHeight="1">
      <c r="A522" s="249"/>
    </row>
    <row r="523" ht="13.5" customHeight="1">
      <c r="A523" s="249"/>
    </row>
    <row r="524" ht="13.5" customHeight="1">
      <c r="A524" s="249"/>
    </row>
    <row r="525" ht="13.5" customHeight="1">
      <c r="A525" s="249"/>
    </row>
    <row r="526" ht="13.5" customHeight="1">
      <c r="A526" s="249"/>
    </row>
    <row r="527" ht="13.5" customHeight="1">
      <c r="A527" s="249"/>
    </row>
    <row r="528" ht="13.5" customHeight="1">
      <c r="A528" s="249"/>
    </row>
    <row r="529" ht="13.5" customHeight="1">
      <c r="A529" s="249"/>
    </row>
    <row r="530" ht="13.5" customHeight="1">
      <c r="A530" s="249"/>
    </row>
    <row r="531" ht="13.5" customHeight="1">
      <c r="A531" s="249"/>
    </row>
    <row r="532" ht="13.5" customHeight="1">
      <c r="A532" s="249"/>
    </row>
    <row r="533" ht="13.5" customHeight="1">
      <c r="A533" s="249"/>
    </row>
    <row r="534" ht="13.5" customHeight="1">
      <c r="A534" s="249"/>
    </row>
    <row r="535" ht="13.5" customHeight="1">
      <c r="A535" s="249"/>
    </row>
    <row r="536" ht="13.5" customHeight="1">
      <c r="A536" s="249"/>
    </row>
    <row r="537" ht="13.5" customHeight="1">
      <c r="A537" s="249"/>
    </row>
    <row r="538" ht="13.5" customHeight="1">
      <c r="A538" s="249"/>
    </row>
    <row r="539" ht="13.5" customHeight="1">
      <c r="A539" s="249"/>
    </row>
    <row r="540" ht="13.5" customHeight="1">
      <c r="A540" s="249"/>
    </row>
    <row r="541" ht="13.5" customHeight="1">
      <c r="A541" s="249"/>
    </row>
    <row r="542" ht="13.5" customHeight="1">
      <c r="A542" s="249"/>
    </row>
    <row r="543" ht="13.5" customHeight="1">
      <c r="A543" s="249"/>
    </row>
    <row r="544" ht="13.5" customHeight="1">
      <c r="A544" s="249"/>
    </row>
    <row r="545" ht="13.5" customHeight="1">
      <c r="A545" s="249"/>
    </row>
    <row r="546" ht="13.5" customHeight="1">
      <c r="A546" s="249"/>
    </row>
    <row r="547" ht="13.5" customHeight="1">
      <c r="A547" s="249"/>
    </row>
    <row r="548" ht="13.5" customHeight="1">
      <c r="A548" s="249"/>
    </row>
    <row r="549" ht="13.5" customHeight="1">
      <c r="A549" s="249"/>
    </row>
    <row r="550" ht="13.5" customHeight="1">
      <c r="A550" s="249"/>
    </row>
    <row r="551" ht="13.5" customHeight="1">
      <c r="A551" s="249"/>
    </row>
    <row r="552" ht="13.5" customHeight="1">
      <c r="A552" s="249"/>
    </row>
    <row r="553" ht="13.5" customHeight="1">
      <c r="A553" s="249"/>
    </row>
    <row r="554" ht="13.5" customHeight="1">
      <c r="A554" s="249"/>
    </row>
    <row r="555" ht="13.5" customHeight="1">
      <c r="A555" s="249"/>
    </row>
    <row r="556" ht="13.5" customHeight="1">
      <c r="A556" s="249"/>
    </row>
    <row r="557" ht="13.5" customHeight="1">
      <c r="A557" s="249"/>
    </row>
    <row r="558" ht="13.5" customHeight="1">
      <c r="A558" s="249"/>
    </row>
    <row r="559" ht="13.5" customHeight="1">
      <c r="A559" s="249"/>
    </row>
    <row r="560" ht="13.5" customHeight="1">
      <c r="A560" s="249"/>
    </row>
    <row r="561" ht="13.5" customHeight="1">
      <c r="A561" s="249"/>
    </row>
    <row r="562" ht="13.5" customHeight="1">
      <c r="A562" s="249"/>
    </row>
    <row r="563" ht="13.5" customHeight="1">
      <c r="A563" s="249"/>
    </row>
    <row r="564" ht="13.5" customHeight="1">
      <c r="A564" s="249"/>
    </row>
    <row r="565" ht="13.5" customHeight="1">
      <c r="A565" s="249"/>
    </row>
    <row r="566" ht="13.5" customHeight="1">
      <c r="A566" s="249"/>
    </row>
    <row r="567" ht="13.5" customHeight="1">
      <c r="A567" s="249"/>
    </row>
    <row r="568" ht="13.5" customHeight="1">
      <c r="A568" s="249"/>
    </row>
    <row r="569" ht="13.5" customHeight="1">
      <c r="A569" s="249"/>
    </row>
    <row r="570" ht="13.5" customHeight="1">
      <c r="A570" s="249"/>
    </row>
    <row r="571" ht="13.5" customHeight="1">
      <c r="A571" s="249"/>
    </row>
    <row r="572" ht="13.5" customHeight="1">
      <c r="A572" s="249"/>
    </row>
    <row r="573" ht="13.5" customHeight="1">
      <c r="A573" s="249"/>
    </row>
    <row r="574" ht="13.5" customHeight="1">
      <c r="A574" s="249"/>
    </row>
    <row r="575" ht="13.5" customHeight="1">
      <c r="A575" s="249"/>
    </row>
    <row r="576" ht="13.5" customHeight="1">
      <c r="A576" s="249"/>
    </row>
    <row r="577" ht="13.5" customHeight="1">
      <c r="A577" s="249"/>
    </row>
    <row r="578" ht="13.5" customHeight="1">
      <c r="A578" s="249"/>
    </row>
    <row r="579" ht="13.5" customHeight="1">
      <c r="A579" s="249"/>
    </row>
    <row r="580" ht="13.5" customHeight="1">
      <c r="A580" s="249"/>
    </row>
    <row r="581" ht="13.5" customHeight="1">
      <c r="A581" s="249"/>
    </row>
    <row r="582" ht="13.5" customHeight="1">
      <c r="A582" s="249"/>
    </row>
    <row r="583" ht="13.5" customHeight="1">
      <c r="A583" s="249"/>
    </row>
    <row r="584" ht="13.5" customHeight="1">
      <c r="A584" s="249"/>
    </row>
    <row r="585" ht="13.5" customHeight="1">
      <c r="A585" s="249"/>
    </row>
    <row r="586" ht="13.5" customHeight="1">
      <c r="A586" s="249"/>
    </row>
    <row r="587" ht="13.5" customHeight="1">
      <c r="A587" s="249"/>
    </row>
    <row r="588" ht="13.5" customHeight="1">
      <c r="A588" s="249"/>
    </row>
    <row r="589" ht="13.5" customHeight="1">
      <c r="A589" s="249"/>
    </row>
    <row r="590" ht="13.5" customHeight="1">
      <c r="A590" s="249"/>
    </row>
    <row r="591" ht="13.5" customHeight="1">
      <c r="A591" s="249"/>
    </row>
    <row r="592" ht="13.5" customHeight="1">
      <c r="A592" s="249"/>
    </row>
    <row r="593" ht="13.5" customHeight="1">
      <c r="A593" s="249"/>
    </row>
    <row r="594" ht="13.5" customHeight="1">
      <c r="A594" s="249"/>
    </row>
    <row r="595" ht="13.5" customHeight="1">
      <c r="A595" s="249"/>
    </row>
    <row r="596" ht="13.5" customHeight="1">
      <c r="A596" s="249"/>
    </row>
    <row r="597" ht="13.5" customHeight="1">
      <c r="A597" s="249"/>
    </row>
    <row r="598" ht="13.5" customHeight="1">
      <c r="A598" s="249"/>
    </row>
    <row r="599" ht="13.5" customHeight="1">
      <c r="A599" s="249"/>
    </row>
    <row r="600" ht="13.5" customHeight="1">
      <c r="A600" s="249"/>
    </row>
    <row r="601" ht="13.5" customHeight="1">
      <c r="A601" s="249"/>
    </row>
    <row r="602" ht="13.5" customHeight="1">
      <c r="A602" s="249"/>
    </row>
    <row r="603" ht="13.5" customHeight="1">
      <c r="A603" s="249"/>
    </row>
    <row r="604" ht="13.5" customHeight="1">
      <c r="A604" s="249"/>
    </row>
    <row r="605" ht="13.5" customHeight="1">
      <c r="A605" s="249"/>
    </row>
    <row r="606" ht="13.5" customHeight="1">
      <c r="A606" s="249"/>
    </row>
    <row r="607" ht="13.5" customHeight="1">
      <c r="A607" s="249"/>
    </row>
    <row r="608" ht="13.5" customHeight="1">
      <c r="A608" s="249"/>
    </row>
    <row r="609" ht="13.5" customHeight="1">
      <c r="A609" s="249"/>
    </row>
    <row r="610" ht="13.5" customHeight="1">
      <c r="A610" s="249"/>
    </row>
    <row r="611" ht="13.5" customHeight="1">
      <c r="A611" s="249"/>
    </row>
    <row r="612" ht="13.5" customHeight="1">
      <c r="A612" s="249"/>
    </row>
    <row r="613" ht="13.5" customHeight="1">
      <c r="A613" s="249"/>
    </row>
    <row r="614" ht="13.5" customHeight="1">
      <c r="A614" s="249"/>
    </row>
    <row r="615" ht="13.5" customHeight="1">
      <c r="A615" s="249"/>
    </row>
    <row r="616" ht="13.5" customHeight="1">
      <c r="A616" s="249"/>
    </row>
    <row r="617" ht="13.5" customHeight="1">
      <c r="A617" s="249"/>
    </row>
    <row r="618" ht="13.5" customHeight="1">
      <c r="A618" s="249"/>
    </row>
    <row r="619" ht="13.5" customHeight="1">
      <c r="A619" s="249"/>
    </row>
    <row r="620" ht="13.5" customHeight="1">
      <c r="A620" s="249"/>
    </row>
    <row r="621" ht="13.5" customHeight="1">
      <c r="A621" s="249"/>
    </row>
    <row r="622" ht="13.5" customHeight="1">
      <c r="A622" s="249"/>
    </row>
    <row r="623" ht="13.5" customHeight="1">
      <c r="A623" s="249"/>
    </row>
    <row r="624" ht="13.5" customHeight="1">
      <c r="A624" s="249"/>
    </row>
    <row r="625" ht="13.5" customHeight="1">
      <c r="A625" s="249"/>
    </row>
    <row r="626" ht="13.5" customHeight="1">
      <c r="A626" s="249"/>
    </row>
    <row r="627" ht="13.5" customHeight="1">
      <c r="A627" s="249"/>
    </row>
    <row r="628" ht="13.5" customHeight="1">
      <c r="A628" s="249"/>
    </row>
    <row r="629" ht="13.5" customHeight="1">
      <c r="A629" s="249"/>
    </row>
    <row r="630" ht="13.5" customHeight="1">
      <c r="A630" s="249"/>
    </row>
    <row r="631" ht="13.5" customHeight="1">
      <c r="A631" s="249"/>
    </row>
    <row r="632" ht="13.5" customHeight="1">
      <c r="A632" s="249"/>
    </row>
    <row r="633" ht="13.5" customHeight="1">
      <c r="A633" s="249"/>
    </row>
    <row r="634" ht="13.5" customHeight="1">
      <c r="A634" s="249"/>
    </row>
    <row r="635" ht="13.5" customHeight="1">
      <c r="A635" s="249"/>
    </row>
    <row r="636" ht="13.5" customHeight="1">
      <c r="A636" s="249"/>
    </row>
    <row r="637" ht="13.5" customHeight="1">
      <c r="A637" s="249"/>
    </row>
    <row r="638" ht="13.5" customHeight="1">
      <c r="A638" s="249"/>
    </row>
    <row r="639" ht="13.5" customHeight="1">
      <c r="A639" s="249"/>
    </row>
    <row r="640" ht="13.5" customHeight="1">
      <c r="A640" s="249"/>
    </row>
    <row r="641" ht="13.5" customHeight="1">
      <c r="A641" s="249"/>
    </row>
    <row r="642" ht="13.5" customHeight="1">
      <c r="A642" s="249"/>
    </row>
    <row r="643" ht="13.5" customHeight="1">
      <c r="A643" s="249"/>
    </row>
    <row r="644" ht="13.5" customHeight="1">
      <c r="A644" s="249"/>
    </row>
    <row r="645" ht="13.5" customHeight="1">
      <c r="A645" s="249"/>
    </row>
    <row r="646" ht="13.5" customHeight="1">
      <c r="A646" s="249"/>
    </row>
    <row r="647" ht="13.5" customHeight="1">
      <c r="A647" s="249"/>
    </row>
    <row r="648" ht="13.5" customHeight="1">
      <c r="A648" s="249"/>
    </row>
    <row r="649" ht="13.5" customHeight="1">
      <c r="A649" s="249"/>
    </row>
    <row r="650" ht="13.5" customHeight="1">
      <c r="A650" s="249"/>
    </row>
    <row r="651" ht="13.5" customHeight="1">
      <c r="A651" s="249"/>
    </row>
    <row r="652" ht="13.5" customHeight="1">
      <c r="A652" s="249"/>
    </row>
    <row r="653" ht="13.5" customHeight="1">
      <c r="A653" s="249"/>
    </row>
    <row r="654" ht="13.5" customHeight="1">
      <c r="A654" s="249"/>
    </row>
    <row r="655" ht="13.5" customHeight="1">
      <c r="A655" s="249"/>
    </row>
    <row r="656" ht="13.5" customHeight="1">
      <c r="A656" s="249"/>
    </row>
    <row r="657" ht="13.5" customHeight="1">
      <c r="A657" s="249"/>
    </row>
    <row r="658" ht="13.5" customHeight="1">
      <c r="A658" s="249"/>
    </row>
    <row r="659" ht="13.5" customHeight="1">
      <c r="A659" s="249"/>
    </row>
    <row r="660" ht="13.5" customHeight="1">
      <c r="A660" s="249"/>
    </row>
    <row r="661" ht="13.5" customHeight="1">
      <c r="A661" s="249"/>
    </row>
    <row r="662" ht="13.5" customHeight="1">
      <c r="A662" s="249"/>
    </row>
    <row r="663" ht="13.5" customHeight="1">
      <c r="A663" s="249"/>
    </row>
    <row r="664" ht="13.5" customHeight="1">
      <c r="A664" s="249"/>
    </row>
    <row r="665" ht="13.5" customHeight="1">
      <c r="A665" s="249"/>
    </row>
    <row r="666" ht="13.5" customHeight="1">
      <c r="A666" s="249"/>
    </row>
    <row r="667" ht="13.5" customHeight="1">
      <c r="A667" s="249"/>
    </row>
    <row r="668" ht="13.5" customHeight="1">
      <c r="A668" s="249"/>
    </row>
    <row r="669" ht="13.5" customHeight="1">
      <c r="A669" s="249"/>
    </row>
    <row r="670" ht="13.5" customHeight="1">
      <c r="A670" s="249"/>
    </row>
    <row r="671" ht="13.5" customHeight="1">
      <c r="A671" s="249"/>
    </row>
    <row r="672" ht="13.5" customHeight="1">
      <c r="A672" s="249"/>
    </row>
    <row r="673" ht="13.5" customHeight="1">
      <c r="A673" s="249"/>
    </row>
    <row r="674" ht="13.5" customHeight="1">
      <c r="A674" s="249"/>
    </row>
    <row r="675" ht="13.5" customHeight="1">
      <c r="A675" s="249"/>
    </row>
    <row r="676" ht="13.5" customHeight="1">
      <c r="A676" s="249"/>
    </row>
    <row r="677" ht="13.5" customHeight="1">
      <c r="A677" s="249"/>
    </row>
    <row r="678" ht="13.5" customHeight="1">
      <c r="A678" s="249"/>
    </row>
    <row r="679" ht="13.5" customHeight="1">
      <c r="A679" s="249"/>
    </row>
    <row r="680" ht="13.5" customHeight="1">
      <c r="A680" s="249"/>
    </row>
    <row r="681" ht="13.5" customHeight="1">
      <c r="A681" s="249"/>
    </row>
    <row r="682" ht="13.5" customHeight="1">
      <c r="A682" s="249"/>
    </row>
    <row r="683" ht="13.5" customHeight="1">
      <c r="A683" s="249"/>
    </row>
    <row r="684" ht="13.5" customHeight="1">
      <c r="A684" s="249"/>
    </row>
    <row r="685" ht="13.5" customHeight="1">
      <c r="A685" s="249"/>
    </row>
    <row r="686" ht="13.5" customHeight="1">
      <c r="A686" s="249"/>
    </row>
    <row r="687" ht="13.5" customHeight="1">
      <c r="A687" s="249"/>
    </row>
    <row r="688" ht="13.5" customHeight="1">
      <c r="A688" s="249"/>
    </row>
    <row r="689" ht="13.5" customHeight="1">
      <c r="A689" s="249"/>
    </row>
    <row r="690" ht="13.5" customHeight="1">
      <c r="A690" s="249"/>
    </row>
    <row r="691" ht="13.5" customHeight="1">
      <c r="A691" s="249"/>
    </row>
    <row r="692" ht="13.5" customHeight="1">
      <c r="A692" s="249"/>
    </row>
    <row r="693" ht="13.5" customHeight="1">
      <c r="A693" s="249"/>
    </row>
    <row r="694" ht="13.5" customHeight="1">
      <c r="A694" s="249"/>
    </row>
    <row r="695" ht="13.5" customHeight="1">
      <c r="A695" s="249"/>
    </row>
    <row r="696" ht="13.5" customHeight="1">
      <c r="A696" s="249"/>
    </row>
    <row r="697" ht="13.5" customHeight="1">
      <c r="A697" s="249"/>
    </row>
    <row r="698" ht="13.5" customHeight="1">
      <c r="A698" s="249"/>
    </row>
    <row r="699" ht="13.5" customHeight="1">
      <c r="A699" s="249"/>
    </row>
    <row r="700" ht="13.5" customHeight="1">
      <c r="A700" s="249"/>
    </row>
    <row r="701" ht="13.5" customHeight="1">
      <c r="A701" s="249"/>
    </row>
    <row r="702" ht="13.5" customHeight="1">
      <c r="A702" s="249"/>
    </row>
    <row r="703" ht="13.5" customHeight="1">
      <c r="A703" s="249"/>
    </row>
    <row r="704" ht="13.5" customHeight="1">
      <c r="A704" s="249"/>
    </row>
    <row r="705" ht="13.5" customHeight="1">
      <c r="A705" s="249"/>
    </row>
    <row r="706" ht="13.5" customHeight="1">
      <c r="A706" s="249"/>
    </row>
    <row r="707" ht="13.5" customHeight="1">
      <c r="A707" s="249"/>
    </row>
    <row r="708" ht="13.5" customHeight="1">
      <c r="A708" s="249"/>
    </row>
    <row r="709" ht="13.5" customHeight="1">
      <c r="A709" s="249"/>
    </row>
    <row r="710" ht="13.5" customHeight="1">
      <c r="A710" s="249"/>
    </row>
    <row r="711" ht="13.5" customHeight="1">
      <c r="A711" s="249"/>
    </row>
    <row r="712" ht="13.5" customHeight="1">
      <c r="A712" s="249"/>
    </row>
    <row r="713" ht="13.5" customHeight="1">
      <c r="A713" s="249"/>
    </row>
    <row r="714" ht="13.5" customHeight="1">
      <c r="A714" s="249"/>
    </row>
    <row r="715" ht="13.5" customHeight="1">
      <c r="A715" s="249"/>
    </row>
    <row r="716" ht="13.5" customHeight="1">
      <c r="A716" s="249"/>
    </row>
    <row r="717" ht="13.5" customHeight="1">
      <c r="A717" s="249"/>
    </row>
    <row r="718" ht="13.5" customHeight="1">
      <c r="A718" s="249"/>
    </row>
    <row r="719" ht="13.5" customHeight="1">
      <c r="A719" s="249"/>
    </row>
    <row r="720" ht="13.5" customHeight="1">
      <c r="A720" s="249"/>
    </row>
    <row r="721" ht="13.5" customHeight="1">
      <c r="A721" s="249"/>
    </row>
    <row r="722" ht="13.5" customHeight="1">
      <c r="A722" s="249"/>
    </row>
    <row r="723" ht="13.5" customHeight="1">
      <c r="A723" s="249"/>
    </row>
    <row r="724" ht="13.5" customHeight="1">
      <c r="A724" s="249"/>
    </row>
    <row r="725" ht="13.5" customHeight="1">
      <c r="A725" s="249"/>
    </row>
    <row r="726" ht="13.5" customHeight="1">
      <c r="A726" s="249"/>
    </row>
    <row r="727" ht="13.5" customHeight="1">
      <c r="A727" s="249"/>
    </row>
    <row r="728" ht="13.5" customHeight="1">
      <c r="A728" s="249"/>
    </row>
    <row r="729" ht="13.5" customHeight="1">
      <c r="A729" s="249"/>
    </row>
    <row r="730" ht="13.5" customHeight="1">
      <c r="A730" s="249"/>
    </row>
    <row r="731" ht="13.5" customHeight="1">
      <c r="A731" s="249"/>
    </row>
    <row r="732" ht="13.5" customHeight="1">
      <c r="A732" s="249"/>
    </row>
    <row r="733" ht="13.5" customHeight="1">
      <c r="A733" s="249"/>
    </row>
    <row r="734" ht="13.5" customHeight="1">
      <c r="A734" s="249"/>
    </row>
    <row r="735" ht="13.5" customHeight="1">
      <c r="A735" s="249"/>
    </row>
    <row r="736" ht="13.5" customHeight="1">
      <c r="A736" s="249"/>
    </row>
    <row r="737" ht="13.5" customHeight="1">
      <c r="A737" s="249"/>
    </row>
    <row r="738" ht="13.5" customHeight="1">
      <c r="A738" s="249"/>
    </row>
    <row r="739" ht="13.5" customHeight="1">
      <c r="A739" s="249"/>
    </row>
    <row r="740" ht="13.5" customHeight="1">
      <c r="A740" s="249"/>
    </row>
    <row r="741" ht="13.5" customHeight="1">
      <c r="A741" s="249"/>
    </row>
    <row r="742" ht="13.5" customHeight="1">
      <c r="A742" s="249"/>
    </row>
    <row r="743" ht="13.5" customHeight="1">
      <c r="A743" s="249"/>
    </row>
    <row r="744" ht="13.5" customHeight="1">
      <c r="A744" s="249"/>
    </row>
    <row r="745" ht="13.5" customHeight="1">
      <c r="A745" s="249"/>
    </row>
    <row r="746" ht="13.5" customHeight="1">
      <c r="A746" s="249"/>
    </row>
    <row r="747" ht="13.5" customHeight="1">
      <c r="A747" s="249"/>
    </row>
    <row r="748" ht="13.5" customHeight="1">
      <c r="A748" s="249"/>
    </row>
    <row r="749" ht="13.5" customHeight="1">
      <c r="A749" s="249"/>
    </row>
    <row r="750" ht="13.5" customHeight="1">
      <c r="A750" s="249"/>
    </row>
    <row r="751" ht="13.5" customHeight="1">
      <c r="A751" s="249"/>
    </row>
    <row r="752" ht="13.5" customHeight="1">
      <c r="A752" s="249"/>
    </row>
    <row r="753" ht="13.5" customHeight="1">
      <c r="A753" s="249"/>
    </row>
    <row r="754" ht="13.5" customHeight="1">
      <c r="A754" s="249"/>
    </row>
    <row r="755" ht="13.5" customHeight="1">
      <c r="A755" s="249"/>
    </row>
    <row r="756" ht="13.5" customHeight="1">
      <c r="A756" s="249"/>
    </row>
    <row r="757" ht="13.5" customHeight="1">
      <c r="A757" s="249"/>
    </row>
    <row r="758" ht="13.5" customHeight="1">
      <c r="A758" s="249"/>
    </row>
    <row r="759" ht="13.5" customHeight="1">
      <c r="A759" s="249"/>
    </row>
    <row r="760" ht="13.5" customHeight="1">
      <c r="A760" s="249"/>
    </row>
    <row r="761" ht="13.5" customHeight="1">
      <c r="A761" s="249"/>
    </row>
    <row r="762" ht="13.5" customHeight="1">
      <c r="A762" s="249"/>
    </row>
    <row r="763" ht="13.5" customHeight="1">
      <c r="A763" s="249"/>
    </row>
    <row r="764" ht="13.5" customHeight="1">
      <c r="A764" s="249"/>
    </row>
    <row r="765" ht="13.5" customHeight="1">
      <c r="A765" s="249"/>
    </row>
    <row r="766" ht="13.5" customHeight="1">
      <c r="A766" s="249"/>
    </row>
    <row r="767" ht="13.5" customHeight="1">
      <c r="A767" s="249"/>
    </row>
    <row r="768" ht="13.5" customHeight="1">
      <c r="A768" s="249"/>
    </row>
    <row r="769" ht="13.5" customHeight="1">
      <c r="A769" s="249"/>
    </row>
    <row r="770" ht="13.5" customHeight="1">
      <c r="A770" s="249"/>
    </row>
    <row r="771" ht="13.5" customHeight="1">
      <c r="A771" s="249"/>
    </row>
    <row r="772" ht="13.5" customHeight="1">
      <c r="A772" s="249"/>
    </row>
    <row r="773" ht="13.5" customHeight="1">
      <c r="A773" s="249"/>
    </row>
    <row r="774" ht="13.5" customHeight="1">
      <c r="A774" s="249"/>
    </row>
    <row r="775" ht="13.5" customHeight="1">
      <c r="A775" s="249"/>
    </row>
    <row r="776" ht="13.5" customHeight="1">
      <c r="A776" s="249"/>
    </row>
    <row r="777" ht="13.5" customHeight="1">
      <c r="A777" s="249"/>
    </row>
    <row r="778" ht="13.5" customHeight="1">
      <c r="A778" s="249"/>
    </row>
    <row r="779" ht="13.5" customHeight="1">
      <c r="A779" s="249"/>
    </row>
    <row r="780" ht="13.5" customHeight="1">
      <c r="A780" s="249"/>
    </row>
    <row r="781" ht="13.5" customHeight="1">
      <c r="A781" s="249"/>
    </row>
    <row r="782" ht="13.5" customHeight="1">
      <c r="A782" s="249"/>
    </row>
    <row r="783" ht="13.5" customHeight="1">
      <c r="A783" s="249"/>
    </row>
    <row r="784" ht="13.5" customHeight="1">
      <c r="A784" s="249"/>
    </row>
    <row r="785" ht="13.5" customHeight="1">
      <c r="A785" s="249"/>
    </row>
    <row r="786" ht="13.5" customHeight="1">
      <c r="A786" s="249"/>
    </row>
    <row r="787" ht="13.5" customHeight="1">
      <c r="A787" s="249"/>
    </row>
    <row r="788" ht="13.5" customHeight="1">
      <c r="A788" s="249"/>
    </row>
    <row r="789" ht="13.5" customHeight="1">
      <c r="A789" s="249"/>
    </row>
    <row r="790" ht="13.5" customHeight="1">
      <c r="A790" s="249"/>
    </row>
    <row r="791" ht="13.5" customHeight="1">
      <c r="A791" s="249"/>
    </row>
    <row r="792" ht="13.5" customHeight="1">
      <c r="A792" s="249"/>
    </row>
    <row r="793" ht="13.5" customHeight="1">
      <c r="A793" s="249"/>
    </row>
    <row r="794" ht="13.5" customHeight="1">
      <c r="A794" s="249"/>
    </row>
    <row r="795" ht="13.5" customHeight="1">
      <c r="A795" s="249"/>
    </row>
    <row r="796" ht="13.5" customHeight="1">
      <c r="A796" s="249"/>
    </row>
    <row r="797" ht="13.5" customHeight="1">
      <c r="A797" s="249"/>
    </row>
    <row r="798" ht="13.5" customHeight="1">
      <c r="A798" s="249"/>
    </row>
    <row r="799" ht="13.5" customHeight="1">
      <c r="A799" s="249"/>
    </row>
    <row r="800" ht="13.5" customHeight="1">
      <c r="A800" s="249"/>
    </row>
    <row r="801" ht="13.5" customHeight="1">
      <c r="A801" s="249"/>
    </row>
    <row r="802" ht="13.5" customHeight="1">
      <c r="A802" s="249"/>
    </row>
    <row r="803" ht="13.5" customHeight="1">
      <c r="A803" s="249"/>
    </row>
    <row r="804" ht="13.5" customHeight="1">
      <c r="A804" s="249"/>
    </row>
    <row r="805" ht="13.5" customHeight="1">
      <c r="A805" s="249"/>
    </row>
    <row r="806" ht="13.5" customHeight="1">
      <c r="A806" s="249"/>
    </row>
    <row r="807" ht="13.5" customHeight="1">
      <c r="A807" s="249"/>
    </row>
    <row r="808" ht="13.5" customHeight="1">
      <c r="A808" s="249"/>
    </row>
    <row r="809" ht="13.5" customHeight="1">
      <c r="A809" s="249"/>
    </row>
    <row r="810" ht="13.5" customHeight="1">
      <c r="A810" s="249"/>
    </row>
    <row r="811" ht="13.5" customHeight="1">
      <c r="A811" s="249"/>
    </row>
    <row r="812" ht="13.5" customHeight="1">
      <c r="A812" s="249"/>
    </row>
    <row r="813" ht="13.5" customHeight="1">
      <c r="A813" s="249"/>
    </row>
    <row r="814" ht="13.5" customHeight="1">
      <c r="A814" s="249"/>
    </row>
    <row r="815" ht="13.5" customHeight="1">
      <c r="A815" s="249"/>
    </row>
    <row r="816" ht="13.5" customHeight="1">
      <c r="A816" s="249"/>
    </row>
    <row r="817" ht="13.5" customHeight="1">
      <c r="A817" s="249"/>
    </row>
    <row r="818" ht="13.5" customHeight="1">
      <c r="A818" s="249"/>
    </row>
    <row r="819" ht="13.5" customHeight="1">
      <c r="A819" s="249"/>
    </row>
    <row r="820" ht="13.5" customHeight="1">
      <c r="A820" s="249"/>
    </row>
    <row r="821" ht="13.5" customHeight="1">
      <c r="A821" s="249"/>
    </row>
    <row r="822" ht="13.5" customHeight="1">
      <c r="A822" s="249"/>
    </row>
    <row r="823" ht="13.5" customHeight="1">
      <c r="A823" s="249"/>
    </row>
    <row r="824" ht="13.5" customHeight="1">
      <c r="A824" s="249"/>
    </row>
    <row r="825" ht="13.5" customHeight="1">
      <c r="A825" s="249"/>
    </row>
    <row r="826" ht="13.5" customHeight="1">
      <c r="A826" s="249"/>
    </row>
    <row r="827" ht="13.5" customHeight="1">
      <c r="A827" s="249"/>
    </row>
    <row r="828" ht="13.5" customHeight="1">
      <c r="A828" s="249"/>
    </row>
    <row r="829" ht="13.5" customHeight="1">
      <c r="A829" s="249"/>
    </row>
    <row r="830" ht="13.5" customHeight="1">
      <c r="A830" s="249"/>
    </row>
    <row r="831" ht="13.5" customHeight="1">
      <c r="A831" s="249"/>
    </row>
    <row r="832" ht="13.5" customHeight="1">
      <c r="A832" s="249"/>
    </row>
    <row r="833" ht="13.5" customHeight="1">
      <c r="A833" s="249"/>
    </row>
    <row r="834" ht="13.5" customHeight="1">
      <c r="A834" s="249"/>
    </row>
    <row r="835" ht="13.5" customHeight="1">
      <c r="A835" s="249"/>
    </row>
    <row r="836" ht="13.5" customHeight="1">
      <c r="A836" s="249"/>
    </row>
    <row r="837" ht="13.5" customHeight="1">
      <c r="A837" s="249"/>
    </row>
    <row r="838" ht="13.5" customHeight="1">
      <c r="A838" s="249"/>
    </row>
    <row r="839" ht="13.5" customHeight="1">
      <c r="A839" s="249"/>
    </row>
    <row r="840" ht="13.5" customHeight="1">
      <c r="A840" s="249"/>
    </row>
    <row r="841" ht="13.5" customHeight="1">
      <c r="A841" s="249"/>
    </row>
    <row r="842" ht="13.5" customHeight="1">
      <c r="A842" s="249"/>
    </row>
    <row r="843" ht="13.5" customHeight="1">
      <c r="A843" s="249"/>
    </row>
    <row r="844" ht="13.5" customHeight="1">
      <c r="A844" s="249"/>
    </row>
    <row r="845" ht="13.5" customHeight="1">
      <c r="A845" s="249"/>
    </row>
    <row r="846" ht="13.5" customHeight="1">
      <c r="A846" s="249"/>
    </row>
    <row r="847" ht="13.5" customHeight="1">
      <c r="A847" s="249"/>
    </row>
    <row r="848" ht="13.5" customHeight="1">
      <c r="A848" s="249"/>
    </row>
    <row r="849" ht="13.5" customHeight="1">
      <c r="A849" s="249"/>
    </row>
    <row r="850" ht="13.5" customHeight="1">
      <c r="A850" s="249"/>
    </row>
    <row r="851" ht="13.5" customHeight="1">
      <c r="A851" s="249"/>
    </row>
    <row r="852" ht="13.5" customHeight="1">
      <c r="A852" s="249"/>
    </row>
    <row r="853" ht="13.5" customHeight="1">
      <c r="A853" s="249"/>
    </row>
    <row r="854" ht="13.5" customHeight="1">
      <c r="A854" s="249"/>
    </row>
    <row r="855" ht="13.5" customHeight="1">
      <c r="A855" s="249"/>
    </row>
    <row r="856" ht="13.5" customHeight="1">
      <c r="A856" s="249"/>
    </row>
    <row r="857" ht="13.5" customHeight="1">
      <c r="A857" s="249"/>
    </row>
    <row r="858" ht="13.5" customHeight="1">
      <c r="A858" s="249"/>
    </row>
    <row r="859" ht="13.5" customHeight="1">
      <c r="A859" s="249"/>
    </row>
    <row r="860" ht="13.5" customHeight="1">
      <c r="A860" s="249"/>
    </row>
    <row r="861" ht="13.5" customHeight="1">
      <c r="A861" s="249"/>
    </row>
    <row r="862" ht="13.5" customHeight="1">
      <c r="A862" s="249"/>
    </row>
    <row r="863" ht="13.5" customHeight="1">
      <c r="A863" s="249"/>
    </row>
    <row r="864" ht="13.5" customHeight="1">
      <c r="A864" s="249"/>
    </row>
    <row r="865" ht="13.5" customHeight="1">
      <c r="A865" s="249"/>
    </row>
    <row r="866" ht="13.5" customHeight="1">
      <c r="A866" s="249"/>
    </row>
    <row r="867" ht="13.5" customHeight="1">
      <c r="A867" s="249"/>
    </row>
    <row r="868" ht="13.5" customHeight="1">
      <c r="A868" s="249"/>
    </row>
    <row r="869" ht="13.5" customHeight="1">
      <c r="A869" s="249"/>
    </row>
    <row r="870" ht="13.5" customHeight="1">
      <c r="A870" s="249"/>
    </row>
    <row r="871" ht="13.5" customHeight="1">
      <c r="A871" s="249"/>
    </row>
    <row r="872" ht="13.5" customHeight="1">
      <c r="A872" s="249"/>
    </row>
    <row r="873" ht="13.5" customHeight="1">
      <c r="A873" s="249"/>
    </row>
    <row r="874" ht="13.5" customHeight="1">
      <c r="A874" s="249"/>
    </row>
    <row r="875" ht="13.5" customHeight="1">
      <c r="A875" s="249"/>
    </row>
    <row r="876" ht="13.5" customHeight="1">
      <c r="A876" s="249"/>
    </row>
    <row r="877" ht="13.5" customHeight="1">
      <c r="A877" s="249"/>
    </row>
    <row r="878" ht="13.5" customHeight="1">
      <c r="A878" s="249"/>
    </row>
    <row r="879" ht="13.5" customHeight="1">
      <c r="A879" s="249"/>
    </row>
    <row r="880" ht="13.5" customHeight="1">
      <c r="A880" s="249"/>
    </row>
    <row r="881" ht="13.5" customHeight="1">
      <c r="A881" s="249"/>
    </row>
    <row r="882" ht="13.5" customHeight="1">
      <c r="A882" s="249"/>
    </row>
    <row r="883" ht="13.5" customHeight="1">
      <c r="A883" s="249"/>
    </row>
    <row r="884" ht="13.5" customHeight="1">
      <c r="A884" s="249"/>
    </row>
    <row r="885" ht="13.5" customHeight="1">
      <c r="A885" s="249"/>
    </row>
    <row r="886" ht="13.5" customHeight="1">
      <c r="A886" s="249"/>
    </row>
    <row r="887" ht="13.5" customHeight="1">
      <c r="A887" s="249"/>
    </row>
    <row r="888" ht="13.5" customHeight="1">
      <c r="A888" s="249"/>
    </row>
    <row r="889" ht="13.5" customHeight="1">
      <c r="A889" s="249"/>
    </row>
    <row r="890" ht="13.5" customHeight="1">
      <c r="A890" s="249"/>
    </row>
    <row r="891" ht="13.5" customHeight="1">
      <c r="A891" s="249"/>
    </row>
    <row r="892" ht="13.5" customHeight="1">
      <c r="A892" s="249"/>
    </row>
    <row r="893" ht="13.5" customHeight="1">
      <c r="A893" s="249"/>
    </row>
    <row r="894" ht="13.5" customHeight="1">
      <c r="A894" s="249"/>
    </row>
    <row r="895" ht="13.5" customHeight="1">
      <c r="A895" s="249"/>
    </row>
    <row r="896" ht="13.5" customHeight="1">
      <c r="A896" s="249"/>
    </row>
    <row r="897" ht="13.5" customHeight="1">
      <c r="A897" s="249"/>
    </row>
    <row r="898" ht="13.5" customHeight="1">
      <c r="A898" s="249"/>
    </row>
    <row r="899" ht="13.5" customHeight="1">
      <c r="A899" s="249"/>
    </row>
    <row r="900" ht="13.5" customHeight="1">
      <c r="A900" s="249"/>
    </row>
    <row r="901" ht="13.5" customHeight="1">
      <c r="A901" s="249"/>
    </row>
    <row r="902" ht="13.5" customHeight="1">
      <c r="A902" s="249"/>
    </row>
    <row r="903" ht="13.5" customHeight="1">
      <c r="A903" s="249"/>
    </row>
    <row r="904" ht="13.5" customHeight="1">
      <c r="A904" s="249"/>
    </row>
    <row r="905" ht="13.5" customHeight="1">
      <c r="A905" s="249"/>
    </row>
    <row r="906" ht="13.5" customHeight="1">
      <c r="A906" s="249"/>
    </row>
    <row r="907" ht="13.5" customHeight="1">
      <c r="A907" s="249"/>
    </row>
    <row r="908" ht="13.5" customHeight="1">
      <c r="A908" s="249"/>
    </row>
    <row r="909" ht="13.5" customHeight="1">
      <c r="A909" s="249"/>
    </row>
    <row r="910" ht="13.5" customHeight="1">
      <c r="A910" s="249"/>
    </row>
    <row r="911" ht="13.5" customHeight="1">
      <c r="A911" s="249"/>
    </row>
    <row r="912" ht="13.5" customHeight="1">
      <c r="A912" s="249"/>
    </row>
    <row r="913" ht="13.5" customHeight="1">
      <c r="A913" s="249"/>
    </row>
    <row r="914" ht="13.5" customHeight="1">
      <c r="A914" s="249"/>
    </row>
    <row r="915" ht="13.5" customHeight="1">
      <c r="A915" s="249"/>
    </row>
    <row r="916" ht="13.5" customHeight="1">
      <c r="A916" s="249"/>
    </row>
    <row r="917" ht="13.5" customHeight="1">
      <c r="A917" s="249"/>
    </row>
    <row r="918" ht="13.5" customHeight="1">
      <c r="A918" s="249"/>
    </row>
    <row r="919" ht="13.5" customHeight="1">
      <c r="A919" s="249"/>
    </row>
    <row r="920" ht="13.5" customHeight="1">
      <c r="A920" s="249"/>
    </row>
    <row r="921" ht="13.5" customHeight="1">
      <c r="A921" s="249"/>
    </row>
    <row r="922" ht="13.5" customHeight="1">
      <c r="A922" s="249"/>
    </row>
    <row r="923" ht="13.5" customHeight="1">
      <c r="A923" s="249"/>
    </row>
    <row r="924" ht="13.5" customHeight="1">
      <c r="A924" s="249"/>
    </row>
    <row r="925" ht="13.5" customHeight="1">
      <c r="A925" s="249"/>
    </row>
    <row r="926" ht="13.5" customHeight="1">
      <c r="A926" s="249"/>
    </row>
    <row r="927" ht="13.5" customHeight="1">
      <c r="A927" s="249"/>
    </row>
    <row r="928" ht="13.5" customHeight="1">
      <c r="A928" s="249"/>
    </row>
    <row r="929" ht="13.5" customHeight="1">
      <c r="A929" s="249"/>
    </row>
    <row r="930" ht="13.5" customHeight="1">
      <c r="A930" s="249"/>
    </row>
    <row r="931" ht="13.5" customHeight="1">
      <c r="A931" s="249"/>
    </row>
    <row r="932" ht="13.5" customHeight="1">
      <c r="A932" s="249"/>
    </row>
    <row r="933" ht="13.5" customHeight="1">
      <c r="A933" s="249"/>
    </row>
    <row r="934" ht="13.5" customHeight="1">
      <c r="A934" s="249"/>
    </row>
    <row r="935" ht="13.5" customHeight="1">
      <c r="A935" s="249"/>
    </row>
    <row r="936" ht="13.5" customHeight="1">
      <c r="A936" s="249"/>
    </row>
    <row r="937" ht="13.5" customHeight="1">
      <c r="A937" s="249"/>
    </row>
    <row r="938" ht="13.5" customHeight="1">
      <c r="A938" s="249"/>
    </row>
    <row r="939" ht="13.5" customHeight="1">
      <c r="A939" s="249"/>
    </row>
    <row r="940" ht="13.5" customHeight="1">
      <c r="A940" s="249"/>
    </row>
    <row r="941" ht="13.5" customHeight="1">
      <c r="A941" s="249"/>
    </row>
    <row r="942" ht="13.5" customHeight="1">
      <c r="A942" s="249"/>
    </row>
    <row r="943" ht="13.5" customHeight="1">
      <c r="A943" s="249"/>
    </row>
    <row r="944" ht="13.5" customHeight="1">
      <c r="A944" s="249"/>
    </row>
    <row r="945" ht="13.5" customHeight="1">
      <c r="A945" s="249"/>
    </row>
    <row r="946" ht="13.5" customHeight="1">
      <c r="A946" s="249"/>
    </row>
    <row r="947" ht="13.5" customHeight="1">
      <c r="A947" s="249"/>
    </row>
    <row r="948" ht="13.5" customHeight="1">
      <c r="A948" s="249"/>
    </row>
    <row r="949" ht="13.5" customHeight="1">
      <c r="A949" s="249"/>
    </row>
    <row r="950" ht="13.5" customHeight="1">
      <c r="A950" s="249"/>
    </row>
    <row r="951" ht="13.5" customHeight="1">
      <c r="A951" s="249"/>
    </row>
    <row r="952" ht="13.5" customHeight="1">
      <c r="A952" s="249"/>
    </row>
    <row r="953" ht="13.5" customHeight="1">
      <c r="A953" s="249"/>
    </row>
    <row r="954" ht="13.5" customHeight="1">
      <c r="A954" s="249"/>
    </row>
    <row r="955" ht="13.5" customHeight="1">
      <c r="A955" s="249"/>
    </row>
    <row r="956" ht="13.5" customHeight="1">
      <c r="A956" s="249"/>
    </row>
    <row r="957" ht="13.5" customHeight="1">
      <c r="A957" s="249"/>
    </row>
    <row r="958" ht="13.5" customHeight="1">
      <c r="A958" s="249"/>
    </row>
    <row r="959" ht="13.5" customHeight="1">
      <c r="A959" s="249"/>
    </row>
    <row r="960" ht="13.5" customHeight="1">
      <c r="A960" s="249"/>
    </row>
    <row r="961" ht="13.5" customHeight="1">
      <c r="A961" s="249"/>
    </row>
    <row r="962" ht="13.5" customHeight="1">
      <c r="A962" s="249"/>
    </row>
    <row r="963" ht="13.5" customHeight="1">
      <c r="A963" s="249"/>
    </row>
    <row r="964" ht="13.5" customHeight="1">
      <c r="A964" s="249"/>
    </row>
    <row r="965" ht="13.5" customHeight="1">
      <c r="A965" s="249"/>
    </row>
    <row r="966" ht="13.5" customHeight="1">
      <c r="A966" s="249"/>
    </row>
    <row r="967" ht="13.5" customHeight="1">
      <c r="A967" s="249"/>
    </row>
    <row r="968" ht="13.5" customHeight="1">
      <c r="A968" s="249"/>
    </row>
    <row r="969" ht="13.5" customHeight="1">
      <c r="A969" s="249"/>
    </row>
    <row r="970" ht="13.5" customHeight="1">
      <c r="A970" s="249"/>
    </row>
    <row r="971" ht="13.5" customHeight="1">
      <c r="A971" s="249"/>
    </row>
    <row r="972" ht="13.5" customHeight="1">
      <c r="A972" s="249"/>
    </row>
    <row r="973" ht="13.5" customHeight="1">
      <c r="A973" s="249"/>
    </row>
    <row r="974" ht="13.5" customHeight="1">
      <c r="A974" s="249"/>
    </row>
    <row r="975" ht="13.5" customHeight="1">
      <c r="A975" s="249"/>
    </row>
    <row r="976" ht="13.5" customHeight="1">
      <c r="A976" s="249"/>
    </row>
    <row r="977" ht="13.5" customHeight="1">
      <c r="A977" s="249"/>
    </row>
    <row r="978" ht="13.5" customHeight="1">
      <c r="A978" s="249"/>
    </row>
    <row r="979" ht="13.5" customHeight="1">
      <c r="A979" s="249"/>
    </row>
    <row r="980" ht="13.5" customHeight="1">
      <c r="A980" s="249"/>
    </row>
    <row r="981" ht="13.5" customHeight="1">
      <c r="A981" s="249"/>
    </row>
    <row r="982" ht="13.5" customHeight="1">
      <c r="A982" s="249"/>
    </row>
    <row r="983" ht="13.5" customHeight="1">
      <c r="A983" s="249"/>
    </row>
    <row r="984" ht="13.5" customHeight="1">
      <c r="A984" s="249"/>
    </row>
    <row r="985" ht="13.5" customHeight="1">
      <c r="A985" s="249"/>
    </row>
    <row r="986" ht="13.5" customHeight="1">
      <c r="A986" s="249"/>
    </row>
    <row r="987" ht="13.5" customHeight="1">
      <c r="A987" s="249"/>
    </row>
    <row r="988" ht="13.5" customHeight="1">
      <c r="A988" s="249"/>
    </row>
    <row r="989" ht="13.5" customHeight="1">
      <c r="A989" s="249"/>
    </row>
    <row r="990" ht="13.5" customHeight="1">
      <c r="A990" s="249"/>
    </row>
    <row r="991" ht="13.5" customHeight="1">
      <c r="A991" s="249"/>
    </row>
    <row r="992" ht="13.5" customHeight="1">
      <c r="A992" s="249"/>
    </row>
    <row r="993" ht="13.5" customHeight="1">
      <c r="A993" s="249"/>
    </row>
    <row r="994" ht="13.5" customHeight="1">
      <c r="A994" s="249"/>
    </row>
    <row r="995" ht="13.5" customHeight="1">
      <c r="A995" s="249"/>
    </row>
    <row r="996" ht="13.5" customHeight="1">
      <c r="A996" s="249"/>
    </row>
    <row r="997" ht="13.5" customHeight="1">
      <c r="A997" s="249"/>
    </row>
    <row r="998" ht="13.5" customHeight="1">
      <c r="A998" s="249"/>
    </row>
    <row r="999" ht="13.5" customHeight="1">
      <c r="A999" s="249"/>
    </row>
    <row r="1000" ht="13.5" customHeight="1">
      <c r="A1000" s="249"/>
    </row>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88"/>
  </cols>
  <sheetData>
    <row r="1" ht="12.75" customHeight="1">
      <c r="A1" s="252" t="s">
        <v>248</v>
      </c>
      <c r="B1" s="43"/>
      <c r="C1" s="43"/>
      <c r="D1" s="43"/>
      <c r="E1" s="43"/>
      <c r="F1" s="43"/>
      <c r="G1" s="43"/>
      <c r="H1" s="43"/>
      <c r="I1" s="43"/>
      <c r="J1" s="44"/>
    </row>
    <row r="2" ht="12.75" customHeight="1">
      <c r="A2" s="118" t="s">
        <v>249</v>
      </c>
      <c r="B2" s="8"/>
      <c r="C2" s="8"/>
      <c r="D2" s="8"/>
      <c r="E2" s="8"/>
      <c r="F2" s="8"/>
      <c r="G2" s="8"/>
      <c r="H2" s="8"/>
      <c r="I2" s="8"/>
      <c r="J2" s="9"/>
    </row>
    <row r="3" ht="12.75" customHeight="1">
      <c r="A3" s="10"/>
      <c r="J3" s="31"/>
    </row>
    <row r="4" ht="12.75" customHeight="1">
      <c r="A4" s="21"/>
      <c r="B4" s="53"/>
      <c r="C4" s="53"/>
      <c r="D4" s="53"/>
      <c r="E4" s="53"/>
      <c r="F4" s="53"/>
      <c r="G4" s="53"/>
      <c r="H4" s="53"/>
      <c r="I4" s="53"/>
      <c r="J4" s="54"/>
    </row>
    <row r="5" ht="12.75" customHeight="1">
      <c r="A5" s="1"/>
      <c r="B5" s="2"/>
      <c r="C5" s="2"/>
      <c r="D5" s="2"/>
      <c r="E5" s="2"/>
      <c r="F5" s="2"/>
      <c r="G5" s="2"/>
      <c r="H5" s="2"/>
      <c r="I5" s="2"/>
      <c r="J5" s="3"/>
    </row>
    <row r="6" ht="12.75" customHeight="1">
      <c r="A6" s="91"/>
      <c r="H6" s="253" t="s">
        <v>250</v>
      </c>
      <c r="J6" s="31"/>
      <c r="K6" s="117"/>
    </row>
    <row r="7" ht="12.75" customHeight="1">
      <c r="A7" s="254" t="s">
        <v>251</v>
      </c>
      <c r="B7" s="53"/>
      <c r="C7" s="53"/>
      <c r="D7" s="53"/>
      <c r="E7" s="53"/>
      <c r="F7" s="53"/>
      <c r="G7" s="53"/>
      <c r="H7" s="53"/>
      <c r="I7" s="53"/>
      <c r="J7" s="54"/>
    </row>
    <row r="8" ht="12.75" customHeight="1">
      <c r="A8" s="255" t="s">
        <v>252</v>
      </c>
      <c r="B8" s="43"/>
      <c r="C8" s="43"/>
      <c r="D8" s="43"/>
      <c r="E8" s="43"/>
      <c r="F8" s="43"/>
      <c r="G8" s="44"/>
      <c r="H8" s="256"/>
      <c r="I8" s="257"/>
      <c r="J8" s="256"/>
    </row>
    <row r="9" ht="12.75" customHeight="1">
      <c r="A9" s="150" t="s">
        <v>253</v>
      </c>
      <c r="B9" s="43"/>
      <c r="C9" s="43"/>
      <c r="D9" s="43"/>
      <c r="E9" s="43"/>
      <c r="F9" s="43"/>
      <c r="G9" s="44"/>
      <c r="H9" s="256"/>
      <c r="I9" s="258"/>
      <c r="J9" s="256"/>
    </row>
    <row r="10" ht="12.75" customHeight="1">
      <c r="A10" s="255" t="s">
        <v>254</v>
      </c>
      <c r="B10" s="43"/>
      <c r="C10" s="43"/>
      <c r="D10" s="43"/>
      <c r="E10" s="43"/>
      <c r="F10" s="43"/>
      <c r="G10" s="44"/>
      <c r="H10" s="256"/>
      <c r="I10" s="257"/>
      <c r="J10" s="256"/>
    </row>
    <row r="11" ht="12.75" customHeight="1">
      <c r="A11" s="150" t="s">
        <v>255</v>
      </c>
      <c r="B11" s="43"/>
      <c r="C11" s="43"/>
      <c r="D11" s="43"/>
      <c r="E11" s="43"/>
      <c r="F11" s="43"/>
      <c r="G11" s="44"/>
      <c r="H11" s="256"/>
      <c r="I11" s="258"/>
      <c r="J11" s="256"/>
    </row>
    <row r="12" ht="12.75" customHeight="1">
      <c r="A12" s="255" t="s">
        <v>256</v>
      </c>
      <c r="B12" s="43"/>
      <c r="C12" s="43"/>
      <c r="D12" s="43"/>
      <c r="E12" s="43"/>
      <c r="F12" s="43"/>
      <c r="G12" s="44"/>
      <c r="H12" s="256"/>
      <c r="I12" s="257"/>
      <c r="J12" s="256"/>
    </row>
    <row r="13" ht="12.75" customHeight="1">
      <c r="A13" s="150" t="s">
        <v>257</v>
      </c>
      <c r="B13" s="43"/>
      <c r="C13" s="43"/>
      <c r="D13" s="43"/>
      <c r="E13" s="43"/>
      <c r="F13" s="43"/>
      <c r="G13" s="44"/>
      <c r="H13" s="256"/>
      <c r="I13" s="258"/>
      <c r="J13" s="256"/>
    </row>
    <row r="14" ht="12.75" customHeight="1">
      <c r="A14" s="255" t="s">
        <v>258</v>
      </c>
      <c r="B14" s="43"/>
      <c r="C14" s="43"/>
      <c r="D14" s="43"/>
      <c r="E14" s="43"/>
      <c r="F14" s="43"/>
      <c r="G14" s="44"/>
      <c r="H14" s="256"/>
      <c r="I14" s="257"/>
      <c r="J14" s="256"/>
    </row>
    <row r="15" ht="12.75" customHeight="1">
      <c r="A15" s="150" t="s">
        <v>259</v>
      </c>
      <c r="B15" s="43"/>
      <c r="C15" s="43"/>
      <c r="D15" s="43"/>
      <c r="E15" s="43"/>
      <c r="F15" s="43"/>
      <c r="G15" s="44"/>
      <c r="H15" s="256"/>
      <c r="I15" s="258"/>
      <c r="J15" s="256"/>
    </row>
    <row r="16" ht="12.75" customHeight="1">
      <c r="A16" s="255" t="s">
        <v>260</v>
      </c>
      <c r="B16" s="43"/>
      <c r="C16" s="43"/>
      <c r="D16" s="43"/>
      <c r="E16" s="43"/>
      <c r="F16" s="43"/>
      <c r="G16" s="44"/>
      <c r="H16" s="256"/>
      <c r="I16" s="257"/>
      <c r="J16" s="256"/>
    </row>
    <row r="17" ht="12.75" customHeight="1">
      <c r="A17" s="150" t="s">
        <v>261</v>
      </c>
      <c r="B17" s="43"/>
      <c r="C17" s="43"/>
      <c r="D17" s="43"/>
      <c r="E17" s="43"/>
      <c r="F17" s="43"/>
      <c r="G17" s="44"/>
      <c r="H17" s="256"/>
      <c r="I17" s="258"/>
      <c r="J17" s="256"/>
    </row>
    <row r="18" ht="12.75" customHeight="1">
      <c r="A18" s="255" t="s">
        <v>262</v>
      </c>
      <c r="B18" s="43"/>
      <c r="C18" s="43"/>
      <c r="D18" s="43"/>
      <c r="E18" s="43"/>
      <c r="F18" s="43"/>
      <c r="G18" s="44"/>
      <c r="H18" s="256"/>
      <c r="I18" s="257"/>
      <c r="J18" s="256"/>
    </row>
    <row r="19" ht="12.75" customHeight="1">
      <c r="A19" s="150" t="s">
        <v>263</v>
      </c>
      <c r="B19" s="44"/>
      <c r="C19" s="150"/>
      <c r="D19" s="43"/>
      <c r="E19" s="43"/>
      <c r="F19" s="43"/>
      <c r="G19" s="44"/>
      <c r="H19" s="256"/>
      <c r="I19" s="258"/>
      <c r="J19" s="256"/>
    </row>
    <row r="20" ht="12.75" customHeight="1">
      <c r="A20" s="255" t="s">
        <v>263</v>
      </c>
      <c r="B20" s="44"/>
      <c r="C20" s="255"/>
      <c r="D20" s="43"/>
      <c r="E20" s="43"/>
      <c r="F20" s="43"/>
      <c r="G20" s="44"/>
      <c r="H20" s="256"/>
      <c r="I20" s="257"/>
      <c r="J20" s="256"/>
    </row>
    <row r="21" ht="12.75" customHeight="1">
      <c r="A21" s="150" t="s">
        <v>263</v>
      </c>
      <c r="B21" s="44"/>
      <c r="C21" s="150"/>
      <c r="D21" s="43"/>
      <c r="E21" s="43"/>
      <c r="F21" s="43"/>
      <c r="G21" s="44"/>
      <c r="H21" s="256"/>
      <c r="I21" s="258"/>
      <c r="J21" s="256"/>
    </row>
    <row r="22" ht="12.75" customHeight="1">
      <c r="A22" s="255" t="s">
        <v>263</v>
      </c>
      <c r="B22" s="44"/>
      <c r="C22" s="255"/>
      <c r="D22" s="43"/>
      <c r="E22" s="43"/>
      <c r="F22" s="43"/>
      <c r="G22" s="44"/>
      <c r="H22" s="256"/>
      <c r="I22" s="257"/>
      <c r="J22" s="256"/>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c r="A56" s="27" t="s">
        <v>264</v>
      </c>
      <c r="E56" s="28" t="str">
        <f>County</f>
        <v>Amador</v>
      </c>
    </row>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dataValidation type="decimal" allowBlank="1" showInputMessage="1" showErrorMessage="1" prompt="Enter estimated number of assessments that will be administered using YOBG funds." sqref="I8:I22">
      <formula1>0.0</formula1>
      <formula2>20000.0</formula2>
    </dataValidation>
  </dataValidations>
  <printOptions horizontalCentered="1"/>
  <pageMargins bottom="0.5" footer="0.0" header="0.0" left="0.5" right="0.5" top="0.5"/>
  <pageSetup orientation="portrait"/>
  <headerFooter>
    <oddFooter>&amp;R&amp;P</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88"/>
  </cols>
  <sheetData>
    <row r="1" ht="12.75" customHeight="1">
      <c r="A1" s="252" t="s">
        <v>265</v>
      </c>
      <c r="B1" s="43"/>
      <c r="C1" s="43"/>
      <c r="D1" s="43"/>
      <c r="E1" s="43"/>
      <c r="F1" s="43"/>
      <c r="G1" s="43"/>
      <c r="H1" s="43"/>
      <c r="I1" s="43"/>
      <c r="J1" s="44"/>
    </row>
    <row r="2" ht="12.75" customHeight="1">
      <c r="A2" s="259" t="s">
        <v>266</v>
      </c>
      <c r="B2" s="8"/>
      <c r="C2" s="8"/>
      <c r="D2" s="8"/>
      <c r="E2" s="8"/>
      <c r="F2" s="8"/>
      <c r="G2" s="8"/>
      <c r="H2" s="8"/>
      <c r="I2" s="8"/>
      <c r="J2" s="9"/>
    </row>
    <row r="3" ht="12.75" customHeight="1">
      <c r="A3" s="260" t="s">
        <v>267</v>
      </c>
      <c r="J3" s="31"/>
    </row>
    <row r="4" ht="12.75" customHeight="1">
      <c r="A4" s="260" t="s">
        <v>268</v>
      </c>
      <c r="J4" s="31"/>
    </row>
    <row r="5" ht="12.75" customHeight="1">
      <c r="A5" s="260" t="s">
        <v>269</v>
      </c>
      <c r="J5" s="31"/>
    </row>
    <row r="6" ht="12.75" customHeight="1">
      <c r="A6" s="261" t="s">
        <v>270</v>
      </c>
      <c r="B6" s="53"/>
      <c r="C6" s="53"/>
      <c r="D6" s="53"/>
      <c r="E6" s="53"/>
      <c r="F6" s="53"/>
      <c r="G6" s="53"/>
      <c r="H6" s="53"/>
      <c r="I6" s="53"/>
      <c r="J6" s="54"/>
    </row>
    <row r="7" ht="12.75" customHeight="1">
      <c r="A7" s="262" t="s">
        <v>271</v>
      </c>
      <c r="B7" s="263"/>
      <c r="C7" s="263"/>
      <c r="D7" s="263"/>
      <c r="E7" s="263"/>
      <c r="F7" s="263"/>
      <c r="G7" s="263"/>
      <c r="H7" s="264"/>
      <c r="I7" s="263"/>
      <c r="J7" s="265"/>
    </row>
    <row r="8" ht="12.75" customHeight="1">
      <c r="A8" s="266" t="s">
        <v>272</v>
      </c>
      <c r="B8" s="56"/>
      <c r="C8" s="56"/>
      <c r="D8" s="56"/>
      <c r="E8" s="56"/>
      <c r="F8" s="56"/>
      <c r="G8" s="56"/>
      <c r="H8" s="56"/>
      <c r="I8" s="56"/>
      <c r="J8" s="57"/>
    </row>
    <row r="9" ht="12.75" customHeight="1">
      <c r="A9" s="267" t="s">
        <v>273</v>
      </c>
      <c r="B9" s="207"/>
      <c r="C9" s="207"/>
      <c r="D9" s="207"/>
      <c r="E9" s="207"/>
      <c r="F9" s="207"/>
      <c r="G9" s="207"/>
      <c r="H9" s="207"/>
      <c r="I9" s="207"/>
      <c r="J9" s="208"/>
    </row>
    <row r="10" ht="12.75" customHeight="1">
      <c r="A10" s="118"/>
      <c r="B10" s="8"/>
      <c r="C10" s="8"/>
      <c r="D10" s="8"/>
      <c r="E10" s="8"/>
      <c r="F10" s="8"/>
      <c r="G10" s="8"/>
      <c r="H10" s="8"/>
      <c r="I10" s="8"/>
      <c r="J10" s="9"/>
    </row>
    <row r="11" ht="12.75" customHeight="1">
      <c r="A11" s="10"/>
      <c r="J11" s="31"/>
    </row>
    <row r="12" ht="12.75" customHeight="1">
      <c r="A12" s="10"/>
      <c r="J12" s="31"/>
    </row>
    <row r="13" ht="12.75" customHeight="1">
      <c r="A13" s="10"/>
      <c r="J13" s="31"/>
    </row>
    <row r="14" ht="12.75" customHeight="1">
      <c r="A14" s="10"/>
      <c r="J14" s="31"/>
    </row>
    <row r="15" ht="12.75" customHeight="1">
      <c r="A15" s="10"/>
      <c r="J15" s="31"/>
    </row>
    <row r="16" ht="12.75" customHeight="1">
      <c r="A16" s="10"/>
      <c r="J16" s="31"/>
    </row>
    <row r="17" ht="12.75" customHeight="1">
      <c r="A17" s="10"/>
      <c r="J17" s="31"/>
    </row>
    <row r="18" ht="12.75" customHeight="1">
      <c r="A18" s="10"/>
      <c r="J18" s="31"/>
    </row>
    <row r="19" ht="12.75" customHeight="1">
      <c r="A19" s="10"/>
      <c r="J19" s="31"/>
    </row>
    <row r="20" ht="12.75" customHeight="1">
      <c r="A20" s="10"/>
      <c r="J20" s="31"/>
    </row>
    <row r="21" ht="12.75" customHeight="1">
      <c r="A21" s="10"/>
      <c r="J21" s="31"/>
    </row>
    <row r="22" ht="12.75" customHeight="1">
      <c r="A22" s="10"/>
      <c r="J22" s="31"/>
    </row>
    <row r="23" ht="12.75" customHeight="1">
      <c r="A23" s="10"/>
      <c r="J23" s="31"/>
    </row>
    <row r="24" ht="12.75" customHeight="1">
      <c r="A24" s="10"/>
      <c r="J24" s="31"/>
    </row>
    <row r="25" ht="12.75" customHeight="1">
      <c r="A25" s="21"/>
      <c r="B25" s="53"/>
      <c r="C25" s="53"/>
      <c r="D25" s="53"/>
      <c r="E25" s="53"/>
      <c r="F25" s="53"/>
      <c r="G25" s="53"/>
      <c r="H25" s="53"/>
      <c r="I25" s="53"/>
      <c r="J25" s="54"/>
    </row>
    <row r="26" ht="12.75" customHeight="1">
      <c r="A26" s="268" t="s">
        <v>274</v>
      </c>
      <c r="B26" s="269"/>
      <c r="C26" s="269"/>
      <c r="D26" s="269"/>
      <c r="E26" s="269"/>
      <c r="F26" s="269"/>
      <c r="G26" s="269"/>
      <c r="H26" s="269"/>
      <c r="I26" s="269"/>
      <c r="J26" s="270"/>
    </row>
    <row r="27" ht="12.75" customHeight="1">
      <c r="A27" s="118"/>
      <c r="B27" s="8"/>
      <c r="C27" s="8"/>
      <c r="D27" s="8"/>
      <c r="E27" s="8"/>
      <c r="F27" s="8"/>
      <c r="G27" s="8"/>
      <c r="H27" s="8"/>
      <c r="I27" s="8"/>
      <c r="J27" s="9"/>
    </row>
    <row r="28" ht="12.75" customHeight="1">
      <c r="A28" s="10"/>
      <c r="J28" s="31"/>
    </row>
    <row r="29" ht="12.75" customHeight="1">
      <c r="A29" s="10"/>
      <c r="J29" s="31"/>
    </row>
    <row r="30" ht="12.75" customHeight="1">
      <c r="A30" s="10"/>
      <c r="J30" s="31"/>
    </row>
    <row r="31" ht="12.75" customHeight="1">
      <c r="A31" s="10"/>
      <c r="J31" s="31"/>
    </row>
    <row r="32" ht="12.75" customHeight="1">
      <c r="A32" s="10"/>
      <c r="J32" s="31"/>
    </row>
    <row r="33" ht="12.75" customHeight="1">
      <c r="A33" s="10"/>
      <c r="J33" s="31"/>
    </row>
    <row r="34" ht="12.75" customHeight="1">
      <c r="A34" s="10"/>
      <c r="J34" s="31"/>
    </row>
    <row r="35" ht="12.75" customHeight="1">
      <c r="A35" s="10"/>
      <c r="J35" s="31"/>
    </row>
    <row r="36" ht="12.75" customHeight="1">
      <c r="A36" s="10"/>
      <c r="J36" s="31"/>
    </row>
    <row r="37" ht="12.75" customHeight="1">
      <c r="A37" s="10"/>
      <c r="J37" s="31"/>
    </row>
    <row r="38" ht="12.75" customHeight="1">
      <c r="A38" s="21"/>
      <c r="B38" s="53"/>
      <c r="C38" s="53"/>
      <c r="D38" s="53"/>
      <c r="E38" s="53"/>
      <c r="F38" s="53"/>
      <c r="G38" s="53"/>
      <c r="H38" s="53"/>
      <c r="I38" s="53"/>
      <c r="J38" s="54"/>
    </row>
    <row r="39" ht="12.75" customHeight="1">
      <c r="A39" s="271" t="s">
        <v>275</v>
      </c>
      <c r="B39" s="49"/>
      <c r="C39" s="49"/>
      <c r="D39" s="49"/>
      <c r="E39" s="49"/>
      <c r="F39" s="49"/>
      <c r="G39" s="49"/>
      <c r="H39" s="49"/>
      <c r="I39" s="49"/>
      <c r="J39" s="50"/>
    </row>
    <row r="40" ht="12.75" customHeight="1">
      <c r="A40" s="267" t="s">
        <v>276</v>
      </c>
      <c r="B40" s="207"/>
      <c r="C40" s="207"/>
      <c r="D40" s="207"/>
      <c r="E40" s="207"/>
      <c r="F40" s="207"/>
      <c r="G40" s="207"/>
      <c r="H40" s="207"/>
      <c r="I40" s="207"/>
      <c r="J40" s="208"/>
    </row>
    <row r="41" ht="12.75" customHeight="1">
      <c r="A41" s="118"/>
      <c r="B41" s="8"/>
      <c r="C41" s="8"/>
      <c r="D41" s="8"/>
      <c r="E41" s="8"/>
      <c r="F41" s="8"/>
      <c r="G41" s="8"/>
      <c r="H41" s="8"/>
      <c r="I41" s="8"/>
      <c r="J41" s="9"/>
    </row>
    <row r="42" ht="12.75" customHeight="1">
      <c r="A42" s="10"/>
      <c r="J42" s="31"/>
    </row>
    <row r="43" ht="12.75" customHeight="1">
      <c r="A43" s="10"/>
      <c r="J43" s="31"/>
    </row>
    <row r="44" ht="12.75" customHeight="1">
      <c r="A44" s="10"/>
      <c r="J44" s="31"/>
    </row>
    <row r="45" ht="12.75" customHeight="1">
      <c r="A45" s="10"/>
      <c r="J45" s="31"/>
    </row>
    <row r="46" ht="12.75" customHeight="1">
      <c r="A46" s="10"/>
      <c r="J46" s="31"/>
    </row>
    <row r="47" ht="12.75" customHeight="1">
      <c r="A47" s="10"/>
      <c r="J47" s="31"/>
    </row>
    <row r="48" ht="12.75" customHeight="1">
      <c r="A48" s="10"/>
      <c r="J48" s="31"/>
    </row>
    <row r="49" ht="12.75" customHeight="1">
      <c r="A49" s="10"/>
      <c r="J49" s="31"/>
    </row>
    <row r="50" ht="12.75" customHeight="1">
      <c r="A50" s="10"/>
      <c r="J50" s="31"/>
    </row>
    <row r="51" ht="12.75" customHeight="1">
      <c r="A51" s="10"/>
      <c r="J51" s="31"/>
    </row>
    <row r="52" ht="12.75" customHeight="1">
      <c r="A52" s="21"/>
      <c r="B52" s="53"/>
      <c r="C52" s="53"/>
      <c r="D52" s="53"/>
      <c r="E52" s="53"/>
      <c r="F52" s="53"/>
      <c r="G52" s="53"/>
      <c r="H52" s="53"/>
      <c r="I52" s="53"/>
      <c r="J52" s="54"/>
    </row>
    <row r="53" ht="12.75" customHeight="1">
      <c r="A53" s="27" t="s">
        <v>264</v>
      </c>
      <c r="E53" s="28" t="str">
        <f>County</f>
        <v>Amador</v>
      </c>
    </row>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9:J9"/>
    <mergeCell ref="A10:J25"/>
    <mergeCell ref="A27:J38"/>
    <mergeCell ref="A39:J39"/>
    <mergeCell ref="A40:J40"/>
    <mergeCell ref="A41:J52"/>
    <mergeCell ref="A53:D53"/>
    <mergeCell ref="E53:H53"/>
    <mergeCell ref="A1:J1"/>
    <mergeCell ref="A2:J2"/>
    <mergeCell ref="A3:J3"/>
    <mergeCell ref="A4:J4"/>
    <mergeCell ref="A5:J5"/>
    <mergeCell ref="A6:J6"/>
    <mergeCell ref="A8:J8"/>
  </mergeCells>
  <dataValidations>
    <dataValidation type="list" allowBlank="1" showInputMessage="1" showErrorMessage="1" prompt="If your response is &quot;No,&quot; skip to item 4." sqref="H7">
      <formula1>YESNO</formula1>
    </dataValidation>
  </dataValidations>
  <printOptions horizontalCentered="1"/>
  <pageMargins bottom="0.5" footer="0.0" header="0.0" left="0.5" right="0.5" top="0.5"/>
  <pageSetup orientation="portrait"/>
  <headerFooter>
    <oddFooter>&amp;R&amp;P</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88"/>
  </cols>
  <sheetData>
    <row r="1" ht="12.75" customHeight="1">
      <c r="A1" s="252" t="s">
        <v>277</v>
      </c>
      <c r="B1" s="43"/>
      <c r="C1" s="43"/>
      <c r="D1" s="43"/>
      <c r="E1" s="43"/>
      <c r="F1" s="43"/>
      <c r="G1" s="43"/>
      <c r="H1" s="43"/>
      <c r="I1" s="43"/>
      <c r="J1" s="44"/>
    </row>
    <row r="2" ht="12.75" customHeight="1">
      <c r="A2" s="259" t="s">
        <v>278</v>
      </c>
      <c r="B2" s="8"/>
      <c r="C2" s="8"/>
      <c r="D2" s="8"/>
      <c r="E2" s="8"/>
      <c r="F2" s="8"/>
      <c r="G2" s="8"/>
      <c r="H2" s="8"/>
      <c r="I2" s="8"/>
      <c r="J2" s="9"/>
    </row>
    <row r="3" ht="12.75" customHeight="1">
      <c r="A3" s="260" t="s">
        <v>279</v>
      </c>
      <c r="J3" s="31"/>
    </row>
    <row r="4" ht="12.75" customHeight="1">
      <c r="A4" s="260" t="s">
        <v>280</v>
      </c>
      <c r="J4" s="31"/>
    </row>
    <row r="5" ht="12.75" customHeight="1">
      <c r="A5" s="260" t="s">
        <v>281</v>
      </c>
      <c r="J5" s="31"/>
    </row>
    <row r="6" ht="12.75" customHeight="1">
      <c r="A6" s="262" t="s">
        <v>282</v>
      </c>
      <c r="B6" s="272"/>
      <c r="C6" s="272"/>
      <c r="D6" s="272"/>
      <c r="E6" s="272"/>
      <c r="F6" s="272"/>
      <c r="G6" s="272"/>
      <c r="H6" s="272"/>
      <c r="I6" s="273"/>
      <c r="J6" s="265"/>
    </row>
    <row r="7" ht="12.75" customHeight="1">
      <c r="A7" s="274" t="s">
        <v>283</v>
      </c>
      <c r="B7" s="275"/>
      <c r="C7" s="275"/>
      <c r="D7" s="275"/>
      <c r="E7" s="275"/>
      <c r="F7" s="275"/>
      <c r="G7" s="275"/>
      <c r="H7" s="275"/>
      <c r="I7" s="276"/>
      <c r="J7" s="277"/>
    </row>
    <row r="8" ht="12.75" customHeight="1">
      <c r="A8" s="267" t="s">
        <v>284</v>
      </c>
      <c r="B8" s="207"/>
      <c r="C8" s="207"/>
      <c r="D8" s="207"/>
      <c r="E8" s="207"/>
      <c r="F8" s="207"/>
      <c r="G8" s="207"/>
      <c r="H8" s="207"/>
      <c r="I8" s="207"/>
      <c r="J8" s="208"/>
    </row>
    <row r="9" ht="12.75" customHeight="1">
      <c r="A9" s="118"/>
      <c r="B9" s="8"/>
      <c r="C9" s="8"/>
      <c r="D9" s="8"/>
      <c r="E9" s="8"/>
      <c r="F9" s="8"/>
      <c r="G9" s="8"/>
      <c r="H9" s="8"/>
      <c r="I9" s="8"/>
      <c r="J9" s="9"/>
    </row>
    <row r="10" ht="12.75" customHeight="1">
      <c r="A10" s="10"/>
      <c r="J10" s="31"/>
    </row>
    <row r="11" ht="12.75" customHeight="1">
      <c r="A11" s="10"/>
      <c r="J11" s="31"/>
    </row>
    <row r="12" ht="12.75" customHeight="1">
      <c r="A12" s="10"/>
      <c r="J12" s="31"/>
    </row>
    <row r="13" ht="12.75" customHeight="1">
      <c r="A13" s="10"/>
      <c r="J13" s="31"/>
    </row>
    <row r="14" ht="12.75" customHeight="1">
      <c r="A14" s="10"/>
      <c r="J14" s="31"/>
    </row>
    <row r="15" ht="12.75" customHeight="1">
      <c r="A15" s="10"/>
      <c r="J15" s="31"/>
    </row>
    <row r="16" ht="12.75" customHeight="1">
      <c r="A16" s="10"/>
      <c r="J16" s="31"/>
    </row>
    <row r="17" ht="12.75" customHeight="1">
      <c r="A17" s="10"/>
      <c r="J17" s="31"/>
    </row>
    <row r="18" ht="12.75" customHeight="1">
      <c r="A18" s="10"/>
      <c r="J18" s="31"/>
    </row>
    <row r="19" ht="12.75" customHeight="1">
      <c r="A19" s="10"/>
      <c r="J19" s="31"/>
    </row>
    <row r="20" ht="12.75" customHeight="1">
      <c r="A20" s="10"/>
      <c r="J20" s="31"/>
    </row>
    <row r="21" ht="12.75" customHeight="1">
      <c r="A21" s="10"/>
      <c r="J21" s="31"/>
    </row>
    <row r="22" ht="12.75" customHeight="1">
      <c r="A22" s="10"/>
      <c r="J22" s="31"/>
    </row>
    <row r="23" ht="12.75" customHeight="1">
      <c r="A23" s="10"/>
      <c r="J23" s="31"/>
    </row>
    <row r="24" ht="12.75" customHeight="1">
      <c r="A24" s="21"/>
      <c r="B24" s="53"/>
      <c r="C24" s="53"/>
      <c r="D24" s="53"/>
      <c r="E24" s="53"/>
      <c r="F24" s="53"/>
      <c r="G24" s="53"/>
      <c r="H24" s="53"/>
      <c r="I24" s="53"/>
      <c r="J24" s="54"/>
    </row>
    <row r="25" ht="12.75" customHeight="1">
      <c r="A25" s="278" t="s">
        <v>285</v>
      </c>
      <c r="B25" s="49"/>
      <c r="C25" s="49"/>
      <c r="D25" s="49"/>
      <c r="E25" s="49"/>
      <c r="F25" s="49"/>
      <c r="G25" s="49"/>
      <c r="H25" s="49"/>
      <c r="I25" s="49"/>
      <c r="J25" s="50"/>
    </row>
    <row r="26" ht="12.75" customHeight="1">
      <c r="A26" s="279" t="s">
        <v>286</v>
      </c>
      <c r="B26" s="8"/>
      <c r="C26" s="8"/>
      <c r="D26" s="8"/>
      <c r="E26" s="8"/>
      <c r="F26" s="8"/>
      <c r="G26" s="8"/>
      <c r="H26" s="8"/>
      <c r="I26" s="8"/>
      <c r="J26" s="9"/>
    </row>
    <row r="27" ht="12.75" customHeight="1">
      <c r="A27" s="10"/>
      <c r="J27" s="31"/>
    </row>
    <row r="28" ht="12.75" customHeight="1">
      <c r="A28" s="21"/>
      <c r="B28" s="53"/>
      <c r="C28" s="53"/>
      <c r="D28" s="53"/>
      <c r="E28" s="53"/>
      <c r="F28" s="53"/>
      <c r="G28" s="53"/>
      <c r="H28" s="53"/>
      <c r="I28" s="53"/>
      <c r="J28" s="54"/>
    </row>
    <row r="29" ht="12.75" customHeight="1">
      <c r="A29" s="118"/>
      <c r="B29" s="8"/>
      <c r="C29" s="8"/>
      <c r="D29" s="8"/>
      <c r="E29" s="8"/>
      <c r="F29" s="8"/>
      <c r="G29" s="8"/>
      <c r="H29" s="8"/>
      <c r="I29" s="8"/>
      <c r="J29" s="9"/>
    </row>
    <row r="30" ht="12.75" customHeight="1">
      <c r="A30" s="10"/>
      <c r="J30" s="31"/>
    </row>
    <row r="31" ht="12.75" customHeight="1">
      <c r="A31" s="10"/>
      <c r="J31" s="31"/>
    </row>
    <row r="32" ht="12.75" customHeight="1">
      <c r="A32" s="10"/>
      <c r="J32" s="31"/>
    </row>
    <row r="33" ht="12.75" customHeight="1">
      <c r="A33" s="10"/>
      <c r="J33" s="31"/>
    </row>
    <row r="34" ht="12.75" customHeight="1">
      <c r="A34" s="10"/>
      <c r="J34" s="31"/>
    </row>
    <row r="35" ht="12.75" customHeight="1">
      <c r="A35" s="10"/>
      <c r="J35" s="31"/>
    </row>
    <row r="36" ht="12.75" customHeight="1">
      <c r="A36" s="10"/>
      <c r="J36" s="31"/>
    </row>
    <row r="37" ht="12.75" customHeight="1">
      <c r="A37" s="10"/>
      <c r="J37" s="31"/>
    </row>
    <row r="38" ht="12.75" customHeight="1">
      <c r="A38" s="10"/>
      <c r="J38" s="31"/>
    </row>
    <row r="39" ht="12.75" customHeight="1">
      <c r="A39" s="10"/>
      <c r="J39" s="31"/>
    </row>
    <row r="40" ht="12.75" customHeight="1">
      <c r="A40" s="10"/>
      <c r="J40" s="31"/>
    </row>
    <row r="41" ht="12.75" customHeight="1">
      <c r="A41" s="10"/>
      <c r="J41" s="31"/>
    </row>
    <row r="42" ht="12.75" customHeight="1">
      <c r="A42" s="10"/>
      <c r="J42" s="31"/>
    </row>
    <row r="43" ht="12.75" customHeight="1">
      <c r="A43" s="21"/>
      <c r="B43" s="53"/>
      <c r="C43" s="53"/>
      <c r="D43" s="53"/>
      <c r="E43" s="53"/>
      <c r="F43" s="53"/>
      <c r="G43" s="53"/>
      <c r="H43" s="53"/>
      <c r="I43" s="53"/>
      <c r="J43" s="54"/>
    </row>
    <row r="44" ht="12.75" customHeight="1">
      <c r="A44" s="68"/>
      <c r="B44" s="68"/>
      <c r="C44" s="68"/>
      <c r="D44" s="68"/>
      <c r="E44" s="68"/>
      <c r="F44" s="68"/>
      <c r="G44" s="68"/>
      <c r="H44" s="68"/>
      <c r="I44" s="68"/>
      <c r="J44" s="68"/>
    </row>
    <row r="45" ht="12.75" customHeight="1">
      <c r="A45" s="68"/>
      <c r="B45" s="68"/>
      <c r="C45" s="68"/>
      <c r="D45" s="68"/>
      <c r="E45" s="68"/>
      <c r="F45" s="68"/>
      <c r="G45" s="68"/>
      <c r="H45" s="68"/>
      <c r="I45" s="68"/>
      <c r="J45" s="68"/>
    </row>
    <row r="46" ht="12.75" customHeight="1">
      <c r="A46" s="68"/>
      <c r="B46" s="68"/>
      <c r="C46" s="68"/>
      <c r="D46" s="68"/>
      <c r="E46" s="68"/>
      <c r="F46" s="68"/>
      <c r="G46" s="68"/>
      <c r="H46" s="68"/>
      <c r="I46" s="68"/>
      <c r="J46" s="68"/>
    </row>
    <row r="47" ht="12.75" customHeight="1">
      <c r="A47" s="68"/>
      <c r="B47" s="68"/>
      <c r="C47" s="68"/>
      <c r="D47" s="68"/>
      <c r="E47" s="68"/>
      <c r="F47" s="68"/>
      <c r="G47" s="68"/>
      <c r="H47" s="68"/>
      <c r="I47" s="68"/>
      <c r="J47" s="68"/>
    </row>
    <row r="48" ht="12.75" customHeight="1">
      <c r="A48" s="68"/>
      <c r="B48" s="68"/>
      <c r="C48" s="68"/>
      <c r="D48" s="68"/>
      <c r="E48" s="68"/>
      <c r="F48" s="68"/>
      <c r="G48" s="68"/>
      <c r="H48" s="68"/>
      <c r="I48" s="68"/>
      <c r="J48" s="68"/>
    </row>
    <row r="49" ht="12.75" customHeight="1">
      <c r="A49" s="68"/>
      <c r="B49" s="68"/>
      <c r="C49" s="68"/>
      <c r="D49" s="68"/>
      <c r="E49" s="68"/>
      <c r="F49" s="68"/>
      <c r="G49" s="68"/>
      <c r="H49" s="68"/>
      <c r="I49" s="68"/>
      <c r="J49" s="68"/>
    </row>
    <row r="50" ht="12.75" customHeight="1">
      <c r="A50" s="68"/>
      <c r="B50" s="68"/>
      <c r="C50" s="68"/>
      <c r="D50" s="68"/>
      <c r="E50" s="68"/>
      <c r="F50" s="68"/>
      <c r="G50" s="68"/>
      <c r="H50" s="68"/>
      <c r="I50" s="68"/>
      <c r="J50" s="68"/>
    </row>
    <row r="51" ht="12.75" customHeight="1">
      <c r="A51" s="68"/>
      <c r="B51" s="68"/>
      <c r="C51" s="68"/>
      <c r="D51" s="68"/>
      <c r="E51" s="68"/>
      <c r="F51" s="68"/>
      <c r="G51" s="68"/>
      <c r="H51" s="68"/>
      <c r="I51" s="68"/>
      <c r="J51" s="68"/>
    </row>
    <row r="52" ht="12.75" customHeight="1"/>
    <row r="53" ht="12.75" customHeight="1">
      <c r="A53" s="28" t="s">
        <v>287</v>
      </c>
    </row>
    <row r="54" ht="12.75" customHeight="1">
      <c r="A54" s="161" t="s">
        <v>288</v>
      </c>
    </row>
    <row r="55" ht="12.75" customHeight="1"/>
    <row r="56" ht="12.75" customHeight="1">
      <c r="A56" s="27" t="s">
        <v>264</v>
      </c>
      <c r="E56" s="28" t="str">
        <f>County</f>
        <v>Amador</v>
      </c>
    </row>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25:J25"/>
    <mergeCell ref="A26:J28"/>
    <mergeCell ref="A29:J43"/>
    <mergeCell ref="A53:J53"/>
    <mergeCell ref="A54:J54"/>
    <mergeCell ref="A56:D56"/>
    <mergeCell ref="E56:H56"/>
    <mergeCell ref="A1:J1"/>
    <mergeCell ref="A2:J2"/>
    <mergeCell ref="A3:J3"/>
    <mergeCell ref="A4:J4"/>
    <mergeCell ref="A5:J5"/>
    <mergeCell ref="A8:J8"/>
    <mergeCell ref="A9:J24"/>
  </mergeCells>
  <dataValidations>
    <dataValidation type="list" allowBlank="1" showInputMessage="1" showErrorMessage="1" prompt="Use drop down list to select &quot;Yes&quot; or &quot;No.&quot;" sqref="I6:I7">
      <formula1>YESNO</formula1>
    </dataValidation>
  </dataValidations>
  <printOptions horizontalCentered="1"/>
  <pageMargins bottom="0.5" footer="0.0" header="0.0" left="0.5" right="0.5" top="0.5"/>
  <pageSetup orientation="portrait"/>
  <headerFooter>
    <oddFooter>&amp;R&amp;P</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3.5"/>
    <col customWidth="1" min="2" max="2" width="21.63"/>
    <col customWidth="1" min="3" max="26" width="8.88"/>
  </cols>
  <sheetData>
    <row r="1" ht="12.75" customHeight="1">
      <c r="A1" s="69" t="s">
        <v>289</v>
      </c>
      <c r="B1" s="28" t="str">
        <f>County</f>
        <v>Amador</v>
      </c>
    </row>
    <row r="2" ht="12.75" customHeight="1">
      <c r="A2" s="69" t="s">
        <v>290</v>
      </c>
      <c r="B2" s="280">
        <f>Reportdate</f>
        <v>45540</v>
      </c>
    </row>
    <row r="3" ht="12.75" customHeight="1">
      <c r="A3" s="69" t="s">
        <v>291</v>
      </c>
      <c r="B3" s="69" t="str">
        <f>Chief</f>
        <v>#REF!</v>
      </c>
    </row>
    <row r="4" ht="12.75" customHeight="1">
      <c r="A4" s="69" t="s">
        <v>292</v>
      </c>
      <c r="B4" s="69" t="str">
        <f>Chiefphone2</f>
        <v>#REF!</v>
      </c>
    </row>
    <row r="5" ht="12.75" customHeight="1">
      <c r="A5" s="69" t="s">
        <v>293</v>
      </c>
      <c r="B5" s="69" t="str">
        <f>Address</f>
        <v>#REF!</v>
      </c>
    </row>
    <row r="6" ht="12.75" customHeight="1">
      <c r="A6" s="69" t="s">
        <v>294</v>
      </c>
      <c r="B6" s="69" t="str">
        <f>City</f>
        <v>#REF!</v>
      </c>
    </row>
    <row r="7" ht="12.75" customHeight="1">
      <c r="A7" s="69" t="s">
        <v>295</v>
      </c>
      <c r="B7" s="281" t="str">
        <f>ZIP</f>
        <v>#REF!</v>
      </c>
    </row>
    <row r="8" ht="12.75" customHeight="1">
      <c r="A8" s="69" t="s">
        <v>296</v>
      </c>
      <c r="B8" s="69" t="str">
        <f>Chiefemail2</f>
        <v>#REF!</v>
      </c>
    </row>
    <row r="9" ht="12.75" customHeight="1">
      <c r="A9" s="69" t="s">
        <v>297</v>
      </c>
      <c r="B9" s="69" t="str">
        <f>primcontact</f>
        <v>Mark Bonini</v>
      </c>
    </row>
    <row r="10" ht="12.75" customHeight="1">
      <c r="A10" s="69" t="s">
        <v>298</v>
      </c>
      <c r="B10" s="69" t="str">
        <f>primarytitle</f>
        <v>Chief Probation Officer</v>
      </c>
    </row>
    <row r="11" ht="12.75" customHeight="1">
      <c r="A11" s="69" t="s">
        <v>299</v>
      </c>
      <c r="B11" s="69" t="str">
        <f>primphone</f>
        <v>209-223-6397</v>
      </c>
    </row>
    <row r="12" ht="12.75" customHeight="1">
      <c r="A12" s="69" t="s">
        <v>300</v>
      </c>
      <c r="B12" s="282" t="str">
        <f>preemail</f>
        <v>mbonini@amadorgov.org</v>
      </c>
    </row>
    <row r="13" ht="12.75" customHeight="1">
      <c r="A13" s="69" t="s">
        <v>301</v>
      </c>
      <c r="B13" s="283" t="str">
        <f>seccontact</f>
        <v>James King</v>
      </c>
    </row>
    <row r="14" ht="12.75" customHeight="1">
      <c r="A14" s="69" t="s">
        <v>302</v>
      </c>
      <c r="B14" s="283" t="str">
        <f>seccontitle</f>
        <v>Unit Supervisor</v>
      </c>
    </row>
    <row r="15" ht="12.75" customHeight="1">
      <c r="A15" s="69" t="s">
        <v>303</v>
      </c>
      <c r="B15" s="69" t="str">
        <f>secphone</f>
        <v>209-223-6455</v>
      </c>
    </row>
    <row r="16" ht="12.75" customHeight="1">
      <c r="A16" s="69" t="s">
        <v>304</v>
      </c>
      <c r="B16" s="282" t="str">
        <f>secemail</f>
        <v>jking@amadorgov.org</v>
      </c>
    </row>
    <row r="17" ht="12.75" customHeight="1">
      <c r="A17" s="69" t="s">
        <v>305</v>
      </c>
      <c r="B17" s="69" t="str">
        <f>t1yobgtot+t2yobgtot+t3yobgtot+t4yobgtot+t5yobgtot+t6yobgtot+t7yobgtot+t8yobgtot+t9yobgtot+t10yobgtot</f>
        <v>#REF!</v>
      </c>
    </row>
    <row r="18" ht="12.75" customHeight="1">
      <c r="A18" s="69" t="s">
        <v>306</v>
      </c>
      <c r="B18" s="69" t="str">
        <f>t1jjcpatot+t2jjcpatot+t3jjcpatot+t4jjcpatot+t5jjcpatot+t6jjcpatot+t7jjcpatot+t8jjcpatot+t9jjcpatot+t10jjcpatot</f>
        <v>#REF!</v>
      </c>
    </row>
    <row r="19" ht="12.75" customHeight="1">
      <c r="A19" s="69" t="s">
        <v>307</v>
      </c>
      <c r="B19" s="69" t="str">
        <f>t1othertot+t2othertot+t3othertot+t4othertot+t5othertot+t6othertot+t7othertot+t8othertot+t9othertot+t10othertot</f>
        <v>#REF!</v>
      </c>
    </row>
    <row r="20" ht="12.75" customHeight="1">
      <c r="A20" s="69" t="s">
        <v>308</v>
      </c>
      <c r="B20" s="69" t="str">
        <f>t1casecount+t2casecount+t3casecount+t4casecount+t5casecount+t6casecount+t7casecount+t8casecount+t9casecount+t10casecount</f>
        <v>#REF!</v>
      </c>
    </row>
    <row r="21" ht="12.75" customHeight="1">
      <c r="A21" s="69" t="s">
        <v>309</v>
      </c>
      <c r="B21" s="69" t="str">
        <f>Numecodet1</f>
        <v>#REF!</v>
      </c>
    </row>
    <row r="22" ht="12.75" customHeight="1">
      <c r="A22" s="69" t="s">
        <v>310</v>
      </c>
      <c r="B22" s="69" t="str">
        <f>Numealtt1</f>
        <v>#REF!</v>
      </c>
    </row>
    <row r="23" ht="12.75" customHeight="1">
      <c r="A23" s="69" t="s">
        <v>311</v>
      </c>
      <c r="B23" s="284">
        <f>t1yobgsal</f>
        <v>136210.55</v>
      </c>
    </row>
    <row r="24" ht="12.75" customHeight="1">
      <c r="A24" s="69" t="s">
        <v>312</v>
      </c>
      <c r="B24" s="284" t="str">
        <f>t1yobgserv</f>
        <v/>
      </c>
    </row>
    <row r="25" ht="12.75" customHeight="1">
      <c r="A25" s="69" t="s">
        <v>313</v>
      </c>
      <c r="B25" s="284" t="str">
        <f>t1yobgprof</f>
        <v/>
      </c>
    </row>
    <row r="26" ht="12.75" customHeight="1">
      <c r="A26" s="69" t="s">
        <v>314</v>
      </c>
      <c r="B26" s="284" t="str">
        <f>t1yobgcbo</f>
        <v/>
      </c>
    </row>
    <row r="27" ht="12.75" customHeight="1">
      <c r="A27" s="69" t="s">
        <v>315</v>
      </c>
      <c r="B27" s="284" t="str">
        <f>t1yobgequip</f>
        <v/>
      </c>
    </row>
    <row r="28" ht="12.75" customHeight="1">
      <c r="A28" s="69" t="s">
        <v>316</v>
      </c>
      <c r="B28" s="284" t="str">
        <f>t1yobgadmin</f>
        <v/>
      </c>
    </row>
    <row r="29" ht="12.75" customHeight="1">
      <c r="A29" s="69" t="s">
        <v>317</v>
      </c>
      <c r="B29" s="284" t="str">
        <f>t1yobgothr1</f>
        <v/>
      </c>
    </row>
    <row r="30" ht="12.75" customHeight="1">
      <c r="A30" s="69" t="s">
        <v>318</v>
      </c>
      <c r="B30" s="284" t="str">
        <f>t1yobgothr2</f>
        <v/>
      </c>
    </row>
    <row r="31" ht="12.75" customHeight="1">
      <c r="A31" s="69" t="s">
        <v>319</v>
      </c>
      <c r="B31" s="284" t="str">
        <f>t1yobgothr3</f>
        <v/>
      </c>
    </row>
    <row r="32" ht="12.75" customHeight="1">
      <c r="A32" s="69" t="s">
        <v>320</v>
      </c>
      <c r="B32" s="284">
        <f>t1yobgtot</f>
        <v>136210.55</v>
      </c>
    </row>
    <row r="33" ht="12.75" customHeight="1">
      <c r="A33" s="69" t="s">
        <v>321</v>
      </c>
      <c r="B33" s="284" t="str">
        <f>t1jjcpasal</f>
        <v/>
      </c>
    </row>
    <row r="34" ht="12.75" customHeight="1">
      <c r="A34" s="69" t="s">
        <v>322</v>
      </c>
      <c r="B34" s="284" t="str">
        <f>t1jjcpaserv</f>
        <v/>
      </c>
    </row>
    <row r="35" ht="12.75" customHeight="1">
      <c r="A35" s="69" t="s">
        <v>323</v>
      </c>
      <c r="B35" s="284" t="str">
        <f>t1jjcpaprof</f>
        <v/>
      </c>
    </row>
    <row r="36" ht="12.75" customHeight="1">
      <c r="A36" s="69" t="s">
        <v>324</v>
      </c>
      <c r="B36" s="284" t="str">
        <f>t1jjcpacbo</f>
        <v/>
      </c>
    </row>
    <row r="37" ht="12.75" customHeight="1">
      <c r="A37" s="69" t="s">
        <v>325</v>
      </c>
      <c r="B37" s="284" t="str">
        <f>t1jjcpaequip</f>
        <v/>
      </c>
    </row>
    <row r="38" ht="12.75" customHeight="1">
      <c r="A38" s="69" t="s">
        <v>326</v>
      </c>
      <c r="B38" s="284" t="str">
        <f>t1jjcpaadmin</f>
        <v/>
      </c>
    </row>
    <row r="39" ht="12.75" customHeight="1">
      <c r="A39" s="69" t="s">
        <v>327</v>
      </c>
      <c r="B39" s="284" t="str">
        <f>t1jjcpaothr1</f>
        <v/>
      </c>
    </row>
    <row r="40" ht="12.75" customHeight="1">
      <c r="A40" s="69" t="s">
        <v>328</v>
      </c>
      <c r="B40" s="284" t="str">
        <f>t1jjcpaothr2</f>
        <v/>
      </c>
    </row>
    <row r="41" ht="12.75" customHeight="1">
      <c r="A41" s="69" t="s">
        <v>329</v>
      </c>
      <c r="B41" s="284" t="str">
        <f>t1jjcpaothr3</f>
        <v/>
      </c>
    </row>
    <row r="42" ht="12.75" customHeight="1">
      <c r="A42" s="69" t="s">
        <v>330</v>
      </c>
      <c r="B42" s="284">
        <f>t1jjcpatot</f>
        <v>0</v>
      </c>
    </row>
    <row r="43" ht="12.75" customHeight="1">
      <c r="A43" s="69" t="s">
        <v>331</v>
      </c>
      <c r="B43" s="284" t="str">
        <f>t1othersal</f>
        <v/>
      </c>
    </row>
    <row r="44" ht="12.75" customHeight="1">
      <c r="A44" s="69" t="s">
        <v>332</v>
      </c>
      <c r="B44" s="284" t="str">
        <f>t1otherserv</f>
        <v/>
      </c>
    </row>
    <row r="45" ht="12.75" customHeight="1">
      <c r="A45" s="69" t="s">
        <v>333</v>
      </c>
      <c r="B45" s="284" t="str">
        <f>t1otherprof</f>
        <v/>
      </c>
    </row>
    <row r="46" ht="12.75" customHeight="1">
      <c r="A46" s="69" t="s">
        <v>334</v>
      </c>
      <c r="B46" s="284" t="str">
        <f>t1othercbo</f>
        <v/>
      </c>
    </row>
    <row r="47" ht="12.75" customHeight="1">
      <c r="A47" s="69" t="s">
        <v>335</v>
      </c>
      <c r="B47" s="284" t="str">
        <f>t1otherequip</f>
        <v/>
      </c>
    </row>
    <row r="48" ht="12.75" customHeight="1">
      <c r="A48" s="69" t="s">
        <v>336</v>
      </c>
      <c r="B48" s="284" t="str">
        <f>t1otheradmin</f>
        <v/>
      </c>
    </row>
    <row r="49" ht="12.75" customHeight="1">
      <c r="A49" s="69" t="s">
        <v>337</v>
      </c>
      <c r="B49" s="284" t="str">
        <f>t1otherothr1</f>
        <v/>
      </c>
    </row>
    <row r="50" ht="12.75" customHeight="1">
      <c r="A50" s="69" t="s">
        <v>338</v>
      </c>
      <c r="B50" s="284" t="str">
        <f>t1otherothr2</f>
        <v/>
      </c>
    </row>
    <row r="51" ht="12.75" customHeight="1">
      <c r="A51" s="69" t="s">
        <v>339</v>
      </c>
      <c r="B51" s="284" t="str">
        <f>t1otherothr3</f>
        <v/>
      </c>
    </row>
    <row r="52" ht="12.75" customHeight="1">
      <c r="A52" s="69" t="s">
        <v>340</v>
      </c>
      <c r="B52" s="284">
        <f>t1othertot</f>
        <v>0</v>
      </c>
    </row>
    <row r="53" ht="12.75" customHeight="1">
      <c r="A53" s="69" t="s">
        <v>341</v>
      </c>
      <c r="B53" s="281" t="str">
        <f>t1casecount</f>
        <v>#REF!</v>
      </c>
    </row>
    <row r="54" ht="12.75" customHeight="1">
      <c r="A54" s="69" t="s">
        <v>342</v>
      </c>
      <c r="B54" s="285" t="str">
        <f>t1yobgpercap</f>
        <v>#REF!</v>
      </c>
    </row>
    <row r="55" ht="12.75" customHeight="1">
      <c r="A55" s="69" t="s">
        <v>343</v>
      </c>
      <c r="B55" s="285" t="str">
        <f>t1totpercap</f>
        <v>#REF!</v>
      </c>
    </row>
    <row r="56" ht="12.75" customHeight="1">
      <c r="A56" s="69" t="s">
        <v>344</v>
      </c>
      <c r="B56" s="281" t="str">
        <f>t1youth1</f>
        <v>#REF!</v>
      </c>
    </row>
    <row r="57" ht="12.75" customHeight="1">
      <c r="A57" s="69" t="s">
        <v>345</v>
      </c>
      <c r="B57" s="281" t="str">
        <f>t1youth2</f>
        <v>#REF!</v>
      </c>
    </row>
    <row r="58" ht="12.75" customHeight="1">
      <c r="A58" s="69" t="s">
        <v>346</v>
      </c>
      <c r="B58" s="281" t="str">
        <f>t1youth3</f>
        <v>#REF!</v>
      </c>
    </row>
    <row r="59" ht="12.75" customHeight="1">
      <c r="A59" s="69" t="s">
        <v>347</v>
      </c>
      <c r="B59" s="281" t="str">
        <f>t1youth4</f>
        <v>#REF!</v>
      </c>
    </row>
    <row r="60" ht="12.75" customHeight="1">
      <c r="A60" s="69" t="s">
        <v>348</v>
      </c>
      <c r="B60" s="281" t="str">
        <f>t1youth5</f>
        <v>#REF!</v>
      </c>
    </row>
    <row r="61" ht="12.75" customHeight="1">
      <c r="A61" s="69" t="s">
        <v>349</v>
      </c>
      <c r="B61" s="281" t="str">
        <f>t1youth6</f>
        <v>#REF!</v>
      </c>
    </row>
    <row r="62" ht="12.75" customHeight="1">
      <c r="A62" s="69" t="s">
        <v>350</v>
      </c>
      <c r="B62" s="69" t="str">
        <f>Numecodet2</f>
        <v>#REF!</v>
      </c>
    </row>
    <row r="63" ht="12.75" customHeight="1">
      <c r="A63" s="69" t="s">
        <v>351</v>
      </c>
      <c r="B63" s="69" t="str">
        <f>Numealtt2</f>
        <v>#REF!</v>
      </c>
    </row>
    <row r="64" ht="12.75" customHeight="1">
      <c r="A64" s="69" t="s">
        <v>352</v>
      </c>
      <c r="B64" s="284" t="str">
        <f>t2yobgsal</f>
        <v>#REF!</v>
      </c>
    </row>
    <row r="65" ht="12.75" customHeight="1">
      <c r="A65" s="69" t="s">
        <v>353</v>
      </c>
      <c r="B65" s="284" t="str">
        <f>t2yobgserv</f>
        <v>#REF!</v>
      </c>
    </row>
    <row r="66" ht="12.75" customHeight="1">
      <c r="A66" s="69" t="s">
        <v>354</v>
      </c>
      <c r="B66" s="284" t="str">
        <f>t2yobgprof</f>
        <v>#REF!</v>
      </c>
    </row>
    <row r="67" ht="12.75" customHeight="1">
      <c r="A67" s="69" t="s">
        <v>355</v>
      </c>
      <c r="B67" s="284" t="str">
        <f>t2yobgcbo</f>
        <v>#REF!</v>
      </c>
    </row>
    <row r="68" ht="12.75" customHeight="1">
      <c r="A68" s="69" t="s">
        <v>356</v>
      </c>
      <c r="B68" s="284" t="str">
        <f>t2yobgequip</f>
        <v>#REF!</v>
      </c>
    </row>
    <row r="69" ht="12.75" customHeight="1">
      <c r="A69" s="69" t="s">
        <v>357</v>
      </c>
      <c r="B69" s="284" t="str">
        <f>t2yobgadmin</f>
        <v>#REF!</v>
      </c>
    </row>
    <row r="70" ht="12.75" customHeight="1">
      <c r="A70" s="69" t="s">
        <v>358</v>
      </c>
      <c r="B70" s="284" t="str">
        <f>t2yobgothr1</f>
        <v>#REF!</v>
      </c>
    </row>
    <row r="71" ht="12.75" customHeight="1">
      <c r="A71" s="69" t="s">
        <v>359</v>
      </c>
      <c r="B71" s="284" t="str">
        <f>t2yobgothr2</f>
        <v>#REF!</v>
      </c>
    </row>
    <row r="72" ht="12.75" customHeight="1">
      <c r="A72" s="69" t="s">
        <v>360</v>
      </c>
      <c r="B72" s="284" t="str">
        <f>t2yobgothr3</f>
        <v>#REF!</v>
      </c>
    </row>
    <row r="73" ht="12.75" customHeight="1">
      <c r="A73" s="69" t="s">
        <v>361</v>
      </c>
      <c r="B73" s="284" t="str">
        <f>t2yobgtot</f>
        <v>#REF!</v>
      </c>
    </row>
    <row r="74" ht="12.75" customHeight="1">
      <c r="A74" s="69" t="s">
        <v>362</v>
      </c>
      <c r="B74" s="284" t="str">
        <f>t2jjcpasal</f>
        <v>#REF!</v>
      </c>
    </row>
    <row r="75" ht="12.75" customHeight="1">
      <c r="A75" s="69" t="s">
        <v>363</v>
      </c>
      <c r="B75" s="284" t="str">
        <f>t2jjcpaserv</f>
        <v>#REF!</v>
      </c>
    </row>
    <row r="76" ht="12.75" customHeight="1">
      <c r="A76" s="69" t="s">
        <v>364</v>
      </c>
      <c r="B76" s="284" t="str">
        <f>t2jjcpaprof</f>
        <v>#REF!</v>
      </c>
    </row>
    <row r="77" ht="12.75" customHeight="1">
      <c r="A77" s="69" t="s">
        <v>365</v>
      </c>
      <c r="B77" s="284" t="str">
        <f>t2jjcpacbo</f>
        <v>#REF!</v>
      </c>
    </row>
    <row r="78" ht="12.75" customHeight="1">
      <c r="A78" s="69" t="s">
        <v>366</v>
      </c>
      <c r="B78" s="284" t="str">
        <f>t2jjcpaequip</f>
        <v>#REF!</v>
      </c>
    </row>
    <row r="79" ht="12.75" customHeight="1">
      <c r="A79" s="69" t="s">
        <v>367</v>
      </c>
      <c r="B79" s="284" t="str">
        <f>t2jjcpaadmin</f>
        <v>#REF!</v>
      </c>
    </row>
    <row r="80" ht="12.75" customHeight="1">
      <c r="A80" s="69" t="s">
        <v>368</v>
      </c>
      <c r="B80" s="284" t="str">
        <f>t2jjcpaothr1</f>
        <v>#REF!</v>
      </c>
    </row>
    <row r="81" ht="12.75" customHeight="1">
      <c r="A81" s="69" t="s">
        <v>369</v>
      </c>
      <c r="B81" s="284" t="str">
        <f>t2jjcpaothr2</f>
        <v>#REF!</v>
      </c>
    </row>
    <row r="82" ht="12.75" customHeight="1">
      <c r="A82" s="69" t="s">
        <v>370</v>
      </c>
      <c r="B82" s="284" t="str">
        <f>t2jjcpaothr3</f>
        <v>#REF!</v>
      </c>
    </row>
    <row r="83" ht="12.75" customHeight="1">
      <c r="A83" s="69" t="s">
        <v>371</v>
      </c>
      <c r="B83" s="284" t="str">
        <f>t2jjcpatot</f>
        <v>#REF!</v>
      </c>
    </row>
    <row r="84" ht="12.75" customHeight="1">
      <c r="A84" s="69" t="s">
        <v>372</v>
      </c>
      <c r="B84" s="284" t="str">
        <f>t2othersal</f>
        <v>#REF!</v>
      </c>
    </row>
    <row r="85" ht="12.75" customHeight="1">
      <c r="A85" s="69" t="s">
        <v>373</v>
      </c>
      <c r="B85" s="284" t="str">
        <f>t2otherserv</f>
        <v>#REF!</v>
      </c>
    </row>
    <row r="86" ht="12.75" customHeight="1">
      <c r="A86" s="69" t="s">
        <v>374</v>
      </c>
      <c r="B86" s="284" t="str">
        <f>t2otherprof</f>
        <v>#REF!</v>
      </c>
    </row>
    <row r="87" ht="12.75" customHeight="1">
      <c r="A87" s="69" t="s">
        <v>375</v>
      </c>
      <c r="B87" s="284" t="str">
        <f>t2othercbo</f>
        <v>#REF!</v>
      </c>
    </row>
    <row r="88" ht="12.75" customHeight="1">
      <c r="A88" s="69" t="s">
        <v>376</v>
      </c>
      <c r="B88" s="284" t="str">
        <f>t2otherequip</f>
        <v>#REF!</v>
      </c>
    </row>
    <row r="89" ht="12.75" customHeight="1">
      <c r="A89" s="69" t="s">
        <v>377</v>
      </c>
      <c r="B89" s="284" t="str">
        <f>t2otheradmin</f>
        <v>#REF!</v>
      </c>
    </row>
    <row r="90" ht="12.75" customHeight="1">
      <c r="A90" s="69" t="s">
        <v>378</v>
      </c>
      <c r="B90" s="284" t="str">
        <f>t2otherothr1</f>
        <v>#REF!</v>
      </c>
    </row>
    <row r="91" ht="12.75" customHeight="1">
      <c r="A91" s="69" t="s">
        <v>379</v>
      </c>
      <c r="B91" s="284" t="str">
        <f>t2otherothr2</f>
        <v>#REF!</v>
      </c>
    </row>
    <row r="92" ht="12.75" customHeight="1">
      <c r="A92" s="69" t="s">
        <v>380</v>
      </c>
      <c r="B92" s="284" t="str">
        <f>t2otherothr3</f>
        <v>#REF!</v>
      </c>
    </row>
    <row r="93" ht="12.75" customHeight="1">
      <c r="A93" s="69" t="s">
        <v>381</v>
      </c>
      <c r="B93" s="284" t="str">
        <f>t2othertot</f>
        <v>#REF!</v>
      </c>
    </row>
    <row r="94" ht="12.75" customHeight="1">
      <c r="A94" s="69" t="s">
        <v>382</v>
      </c>
      <c r="B94" s="281" t="str">
        <f>t2casecount</f>
        <v>#REF!</v>
      </c>
    </row>
    <row r="95" ht="12.75" customHeight="1">
      <c r="A95" s="69" t="s">
        <v>383</v>
      </c>
      <c r="B95" s="285" t="str">
        <f>t2yobgpercap</f>
        <v>#REF!</v>
      </c>
    </row>
    <row r="96" ht="12.75" customHeight="1">
      <c r="A96" s="69" t="s">
        <v>384</v>
      </c>
      <c r="B96" s="285" t="str">
        <f>t2totpercap</f>
        <v>#REF!</v>
      </c>
    </row>
    <row r="97" ht="12.75" customHeight="1">
      <c r="A97" s="69" t="s">
        <v>385</v>
      </c>
      <c r="B97" s="281" t="str">
        <f>t2youth1</f>
        <v>#REF!</v>
      </c>
    </row>
    <row r="98" ht="12.75" customHeight="1">
      <c r="A98" s="69" t="s">
        <v>386</v>
      </c>
      <c r="B98" s="281" t="str">
        <f>t2youth2</f>
        <v>#REF!</v>
      </c>
    </row>
    <row r="99" ht="12.75" customHeight="1">
      <c r="A99" s="69" t="s">
        <v>387</v>
      </c>
      <c r="B99" s="281" t="str">
        <f>t2youth3</f>
        <v>#REF!</v>
      </c>
    </row>
    <row r="100" ht="12.75" customHeight="1">
      <c r="A100" s="69" t="s">
        <v>388</v>
      </c>
      <c r="B100" s="281" t="str">
        <f>t2youth4</f>
        <v>#REF!</v>
      </c>
    </row>
    <row r="101" ht="12.75" customHeight="1">
      <c r="A101" s="69" t="s">
        <v>389</v>
      </c>
      <c r="B101" s="281" t="str">
        <f>t2youth5</f>
        <v>#REF!</v>
      </c>
    </row>
    <row r="102" ht="12.75" customHeight="1">
      <c r="A102" s="69" t="s">
        <v>390</v>
      </c>
      <c r="B102" s="281" t="str">
        <f>t2youth6</f>
        <v>#REF!</v>
      </c>
    </row>
    <row r="103" ht="12.75" customHeight="1">
      <c r="A103" s="69" t="s">
        <v>391</v>
      </c>
      <c r="B103" s="69" t="str">
        <f>Numecodet3</f>
        <v>#REF!</v>
      </c>
    </row>
    <row r="104" ht="12.75" customHeight="1">
      <c r="A104" s="69" t="s">
        <v>392</v>
      </c>
      <c r="B104" s="69" t="str">
        <f>Numealtt3</f>
        <v>#REF!</v>
      </c>
    </row>
    <row r="105" ht="12.75" customHeight="1">
      <c r="A105" s="69" t="s">
        <v>393</v>
      </c>
      <c r="B105" s="284" t="str">
        <f>t3yobgsal</f>
        <v>#REF!</v>
      </c>
    </row>
    <row r="106" ht="12.75" customHeight="1">
      <c r="A106" s="69" t="s">
        <v>394</v>
      </c>
      <c r="B106" s="284" t="str">
        <f>t3yobgserv</f>
        <v>#REF!</v>
      </c>
    </row>
    <row r="107" ht="12.75" customHeight="1">
      <c r="A107" s="69" t="s">
        <v>395</v>
      </c>
      <c r="B107" s="284" t="str">
        <f>t3yobgprof</f>
        <v>#REF!</v>
      </c>
    </row>
    <row r="108" ht="12.75" customHeight="1">
      <c r="A108" s="69" t="s">
        <v>396</v>
      </c>
      <c r="B108" s="284" t="str">
        <f>t3yobgcbo</f>
        <v>#REF!</v>
      </c>
    </row>
    <row r="109" ht="12.75" customHeight="1">
      <c r="A109" s="69" t="s">
        <v>397</v>
      </c>
      <c r="B109" s="284" t="str">
        <f>t3yobgequip</f>
        <v>#REF!</v>
      </c>
    </row>
    <row r="110" ht="12.75" customHeight="1">
      <c r="A110" s="69" t="s">
        <v>398</v>
      </c>
      <c r="B110" s="284" t="str">
        <f>t3yobgadmin</f>
        <v>#REF!</v>
      </c>
    </row>
    <row r="111" ht="12.75" customHeight="1">
      <c r="A111" s="69" t="s">
        <v>399</v>
      </c>
      <c r="B111" s="284" t="str">
        <f>t3yobgothr1</f>
        <v>#REF!</v>
      </c>
    </row>
    <row r="112" ht="12.75" customHeight="1">
      <c r="A112" s="69" t="s">
        <v>400</v>
      </c>
      <c r="B112" s="284" t="str">
        <f>t3yobgothr2</f>
        <v>#REF!</v>
      </c>
    </row>
    <row r="113" ht="12.75" customHeight="1">
      <c r="A113" s="69" t="s">
        <v>401</v>
      </c>
      <c r="B113" s="284" t="str">
        <f>t3yobgothr3</f>
        <v>#REF!</v>
      </c>
    </row>
    <row r="114" ht="12.75" customHeight="1">
      <c r="A114" s="69" t="s">
        <v>402</v>
      </c>
      <c r="B114" s="284" t="str">
        <f>t3yobgtot</f>
        <v>#REF!</v>
      </c>
    </row>
    <row r="115" ht="12.75" customHeight="1">
      <c r="A115" s="69" t="s">
        <v>403</v>
      </c>
      <c r="B115" s="284" t="str">
        <f>t3jjcpasal</f>
        <v>#REF!</v>
      </c>
    </row>
    <row r="116" ht="12.75" customHeight="1">
      <c r="A116" s="69" t="s">
        <v>404</v>
      </c>
      <c r="B116" s="284" t="str">
        <f>t3jjcpaserv</f>
        <v>#REF!</v>
      </c>
    </row>
    <row r="117" ht="12.75" customHeight="1">
      <c r="A117" s="69" t="s">
        <v>405</v>
      </c>
      <c r="B117" s="284" t="str">
        <f>t3jjcpaprof</f>
        <v>#REF!</v>
      </c>
    </row>
    <row r="118" ht="12.75" customHeight="1">
      <c r="A118" s="69" t="s">
        <v>406</v>
      </c>
      <c r="B118" s="284" t="str">
        <f>t3jjcpacbo</f>
        <v>#REF!</v>
      </c>
    </row>
    <row r="119" ht="12.75" customHeight="1">
      <c r="A119" s="69" t="s">
        <v>407</v>
      </c>
      <c r="B119" s="284" t="str">
        <f>t3jjcpaequip</f>
        <v>#REF!</v>
      </c>
    </row>
    <row r="120" ht="12.75" customHeight="1">
      <c r="A120" s="69" t="s">
        <v>408</v>
      </c>
      <c r="B120" s="284" t="str">
        <f>t3jjcpaadmin</f>
        <v>#REF!</v>
      </c>
    </row>
    <row r="121" ht="12.75" customHeight="1">
      <c r="A121" s="69" t="s">
        <v>409</v>
      </c>
      <c r="B121" s="284" t="str">
        <f>t3jjcpaothr1</f>
        <v>#REF!</v>
      </c>
    </row>
    <row r="122" ht="12.75" customHeight="1">
      <c r="A122" s="69" t="s">
        <v>410</v>
      </c>
      <c r="B122" s="284" t="str">
        <f>t3jjcpaothr2</f>
        <v>#REF!</v>
      </c>
    </row>
    <row r="123" ht="12.75" customHeight="1">
      <c r="A123" s="69" t="s">
        <v>411</v>
      </c>
      <c r="B123" s="284" t="str">
        <f>t3jjcpaothr3</f>
        <v>#REF!</v>
      </c>
    </row>
    <row r="124" ht="12.75" customHeight="1">
      <c r="A124" s="69" t="s">
        <v>412</v>
      </c>
      <c r="B124" s="284" t="str">
        <f>t3jjcpatot</f>
        <v>#REF!</v>
      </c>
    </row>
    <row r="125" ht="12.75" customHeight="1">
      <c r="A125" s="69" t="s">
        <v>413</v>
      </c>
      <c r="B125" s="284" t="str">
        <f>t3othersal</f>
        <v>#REF!</v>
      </c>
    </row>
    <row r="126" ht="12.75" customHeight="1">
      <c r="A126" s="69" t="s">
        <v>414</v>
      </c>
      <c r="B126" s="284" t="str">
        <f>t3otherserv</f>
        <v>#REF!</v>
      </c>
    </row>
    <row r="127" ht="12.75" customHeight="1">
      <c r="A127" s="69" t="s">
        <v>415</v>
      </c>
      <c r="B127" s="284" t="str">
        <f>t3otherprof</f>
        <v>#REF!</v>
      </c>
    </row>
    <row r="128" ht="12.75" customHeight="1">
      <c r="A128" s="69" t="s">
        <v>416</v>
      </c>
      <c r="B128" s="284" t="str">
        <f>t3othercbo</f>
        <v>#REF!</v>
      </c>
    </row>
    <row r="129" ht="12.75" customHeight="1">
      <c r="A129" s="69" t="s">
        <v>417</v>
      </c>
      <c r="B129" s="284" t="str">
        <f>t3otherequip</f>
        <v>#REF!</v>
      </c>
    </row>
    <row r="130" ht="12.75" customHeight="1">
      <c r="A130" s="69" t="s">
        <v>418</v>
      </c>
      <c r="B130" s="284" t="str">
        <f>t3otheradmin</f>
        <v>#REF!</v>
      </c>
    </row>
    <row r="131" ht="12.75" customHeight="1">
      <c r="A131" s="69" t="s">
        <v>419</v>
      </c>
      <c r="B131" s="284" t="str">
        <f>t3otherothr1</f>
        <v>#REF!</v>
      </c>
    </row>
    <row r="132" ht="12.75" customHeight="1">
      <c r="A132" s="69" t="s">
        <v>420</v>
      </c>
      <c r="B132" s="284" t="str">
        <f>t3otherothr2</f>
        <v>#REF!</v>
      </c>
    </row>
    <row r="133" ht="12.75" customHeight="1">
      <c r="A133" s="69" t="s">
        <v>421</v>
      </c>
      <c r="B133" s="284" t="str">
        <f>t3otherothr3</f>
        <v>#REF!</v>
      </c>
    </row>
    <row r="134" ht="12.75" customHeight="1">
      <c r="A134" s="69" t="s">
        <v>422</v>
      </c>
      <c r="B134" s="284" t="str">
        <f>t3othertot</f>
        <v>#REF!</v>
      </c>
    </row>
    <row r="135" ht="12.75" customHeight="1">
      <c r="A135" s="69" t="s">
        <v>423</v>
      </c>
      <c r="B135" s="281" t="str">
        <f>t3casecount</f>
        <v>#REF!</v>
      </c>
    </row>
    <row r="136" ht="12.75" customHeight="1">
      <c r="A136" s="69" t="s">
        <v>424</v>
      </c>
      <c r="B136" s="285" t="str">
        <f>t3yobgpercap</f>
        <v>#REF!</v>
      </c>
    </row>
    <row r="137" ht="12.75" customHeight="1">
      <c r="A137" s="69" t="s">
        <v>425</v>
      </c>
      <c r="B137" s="285" t="str">
        <f>t3totpercap</f>
        <v>#REF!</v>
      </c>
    </row>
    <row r="138" ht="12.75" customHeight="1">
      <c r="A138" s="69" t="s">
        <v>426</v>
      </c>
      <c r="B138" s="281" t="str">
        <f>t3youth1</f>
        <v>#REF!</v>
      </c>
    </row>
    <row r="139" ht="12.75" customHeight="1">
      <c r="A139" s="69" t="s">
        <v>427</v>
      </c>
      <c r="B139" s="281" t="str">
        <f>t3youth2</f>
        <v>#REF!</v>
      </c>
    </row>
    <row r="140" ht="12.75" customHeight="1">
      <c r="A140" s="69" t="s">
        <v>428</v>
      </c>
      <c r="B140" s="281" t="str">
        <f>t3youth3</f>
        <v>#REF!</v>
      </c>
    </row>
    <row r="141" ht="12.75" customHeight="1">
      <c r="A141" s="69" t="s">
        <v>429</v>
      </c>
      <c r="B141" s="281" t="str">
        <f>t3youth4</f>
        <v>#REF!</v>
      </c>
    </row>
    <row r="142" ht="12.75" customHeight="1">
      <c r="A142" s="69" t="s">
        <v>430</v>
      </c>
      <c r="B142" s="281" t="str">
        <f>t3youth5</f>
        <v>#REF!</v>
      </c>
    </row>
    <row r="143" ht="12.75" customHeight="1">
      <c r="A143" s="69" t="s">
        <v>431</v>
      </c>
      <c r="B143" s="281" t="str">
        <f>t3youth6</f>
        <v>#REF!</v>
      </c>
    </row>
    <row r="144" ht="12.75" customHeight="1">
      <c r="A144" s="69" t="s">
        <v>432</v>
      </c>
      <c r="B144" s="69" t="str">
        <f>Numecodet4</f>
        <v>#REF!</v>
      </c>
    </row>
    <row r="145" ht="12.75" customHeight="1">
      <c r="A145" s="69" t="s">
        <v>433</v>
      </c>
      <c r="B145" s="69" t="str">
        <f>Numealtt4</f>
        <v>#REF!</v>
      </c>
    </row>
    <row r="146" ht="12.75" customHeight="1">
      <c r="A146" s="69" t="s">
        <v>434</v>
      </c>
      <c r="B146" s="284" t="str">
        <f>t4yobgsal</f>
        <v>#REF!</v>
      </c>
    </row>
    <row r="147" ht="12.75" customHeight="1">
      <c r="A147" s="69" t="s">
        <v>435</v>
      </c>
      <c r="B147" s="284" t="str">
        <f>t4yobgserv</f>
        <v>#REF!</v>
      </c>
    </row>
    <row r="148" ht="12.75" customHeight="1">
      <c r="A148" s="69" t="s">
        <v>436</v>
      </c>
      <c r="B148" s="284" t="str">
        <f>t4yobgprof</f>
        <v>#REF!</v>
      </c>
    </row>
    <row r="149" ht="12.75" customHeight="1">
      <c r="A149" s="69" t="s">
        <v>437</v>
      </c>
      <c r="B149" s="284" t="str">
        <f>t4yobgcbo</f>
        <v>#REF!</v>
      </c>
    </row>
    <row r="150" ht="12.75" customHeight="1">
      <c r="A150" s="69" t="s">
        <v>438</v>
      </c>
      <c r="B150" s="284" t="str">
        <f>t4yobgequip</f>
        <v>#REF!</v>
      </c>
    </row>
    <row r="151" ht="12.75" customHeight="1">
      <c r="A151" s="69" t="s">
        <v>439</v>
      </c>
      <c r="B151" s="284" t="str">
        <f>t4yobgadmin</f>
        <v>#REF!</v>
      </c>
    </row>
    <row r="152" ht="12.75" customHeight="1">
      <c r="A152" s="69" t="s">
        <v>440</v>
      </c>
      <c r="B152" s="284" t="str">
        <f>t4yobgothr1</f>
        <v>#REF!</v>
      </c>
    </row>
    <row r="153" ht="12.75" customHeight="1">
      <c r="A153" s="69" t="s">
        <v>441</v>
      </c>
      <c r="B153" s="284" t="str">
        <f>t4yobgothr2</f>
        <v>#REF!</v>
      </c>
    </row>
    <row r="154" ht="12.75" customHeight="1">
      <c r="A154" s="69" t="s">
        <v>442</v>
      </c>
      <c r="B154" s="284" t="str">
        <f>t4yobgothr3</f>
        <v>#REF!</v>
      </c>
    </row>
    <row r="155" ht="12.75" customHeight="1">
      <c r="A155" s="69" t="s">
        <v>443</v>
      </c>
      <c r="B155" s="284" t="str">
        <f>t4yobgtot</f>
        <v>#REF!</v>
      </c>
    </row>
    <row r="156" ht="12.75" customHeight="1">
      <c r="A156" s="69" t="s">
        <v>444</v>
      </c>
      <c r="B156" s="284" t="str">
        <f>t4jjcpasal</f>
        <v>#REF!</v>
      </c>
    </row>
    <row r="157" ht="12.75" customHeight="1">
      <c r="A157" s="69" t="s">
        <v>445</v>
      </c>
      <c r="B157" s="284" t="str">
        <f>t4jjcpaserv</f>
        <v>#REF!</v>
      </c>
    </row>
    <row r="158" ht="12.75" customHeight="1">
      <c r="A158" s="69" t="s">
        <v>446</v>
      </c>
      <c r="B158" s="284" t="str">
        <f>t4jjcpaprof</f>
        <v>#REF!</v>
      </c>
    </row>
    <row r="159" ht="12.75" customHeight="1">
      <c r="A159" s="69" t="s">
        <v>447</v>
      </c>
      <c r="B159" s="284" t="str">
        <f>t4jjcpacbo</f>
        <v>#REF!</v>
      </c>
    </row>
    <row r="160" ht="12.75" customHeight="1">
      <c r="A160" s="69" t="s">
        <v>448</v>
      </c>
      <c r="B160" s="284" t="str">
        <f>t4jjcpaequip</f>
        <v>#REF!</v>
      </c>
    </row>
    <row r="161" ht="12.75" customHeight="1">
      <c r="A161" s="69" t="s">
        <v>449</v>
      </c>
      <c r="B161" s="284" t="str">
        <f>t4jjcpaadmin</f>
        <v>#REF!</v>
      </c>
    </row>
    <row r="162" ht="12.75" customHeight="1">
      <c r="A162" s="69" t="s">
        <v>450</v>
      </c>
      <c r="B162" s="284" t="str">
        <f>t4jjcpaothr1</f>
        <v>#REF!</v>
      </c>
    </row>
    <row r="163" ht="12.75" customHeight="1">
      <c r="A163" s="69" t="s">
        <v>451</v>
      </c>
      <c r="B163" s="284" t="str">
        <f>t4jjcpaothr2</f>
        <v>#REF!</v>
      </c>
    </row>
    <row r="164" ht="12.75" customHeight="1">
      <c r="A164" s="69" t="s">
        <v>452</v>
      </c>
      <c r="B164" s="284" t="str">
        <f>t4jjcpaothr3</f>
        <v>#REF!</v>
      </c>
    </row>
    <row r="165" ht="12.75" customHeight="1">
      <c r="A165" s="69" t="s">
        <v>453</v>
      </c>
      <c r="B165" s="284" t="str">
        <f>t4jjcpatot</f>
        <v>#REF!</v>
      </c>
    </row>
    <row r="166" ht="12.75" customHeight="1">
      <c r="A166" s="69" t="s">
        <v>454</v>
      </c>
      <c r="B166" s="284" t="str">
        <f>t4othersal</f>
        <v>#REF!</v>
      </c>
    </row>
    <row r="167" ht="12.75" customHeight="1">
      <c r="A167" s="69" t="s">
        <v>455</v>
      </c>
      <c r="B167" s="284" t="str">
        <f>t4otherserv</f>
        <v>#REF!</v>
      </c>
    </row>
    <row r="168" ht="12.75" customHeight="1">
      <c r="A168" s="69" t="s">
        <v>456</v>
      </c>
      <c r="B168" s="284" t="str">
        <f>t4otherprof</f>
        <v>#REF!</v>
      </c>
    </row>
    <row r="169" ht="12.75" customHeight="1">
      <c r="A169" s="69" t="s">
        <v>457</v>
      </c>
      <c r="B169" s="284" t="str">
        <f>t4othercbo</f>
        <v>#REF!</v>
      </c>
    </row>
    <row r="170" ht="12.75" customHeight="1">
      <c r="A170" s="69" t="s">
        <v>458</v>
      </c>
      <c r="B170" s="284" t="str">
        <f>t4otherequip</f>
        <v>#REF!</v>
      </c>
    </row>
    <row r="171" ht="12.75" customHeight="1">
      <c r="A171" s="69" t="s">
        <v>459</v>
      </c>
      <c r="B171" s="284" t="str">
        <f>t4otheradmin</f>
        <v>#REF!</v>
      </c>
    </row>
    <row r="172" ht="12.75" customHeight="1">
      <c r="A172" s="69" t="s">
        <v>460</v>
      </c>
      <c r="B172" s="284" t="str">
        <f>t4otherothr1</f>
        <v>#REF!</v>
      </c>
    </row>
    <row r="173" ht="12.75" customHeight="1">
      <c r="A173" s="69" t="s">
        <v>461</v>
      </c>
      <c r="B173" s="284" t="str">
        <f>t4otherothr2</f>
        <v>#REF!</v>
      </c>
    </row>
    <row r="174" ht="12.75" customHeight="1">
      <c r="A174" s="69" t="s">
        <v>462</v>
      </c>
      <c r="B174" s="284" t="str">
        <f>t4otherothr3</f>
        <v>#REF!</v>
      </c>
    </row>
    <row r="175" ht="12.75" customHeight="1">
      <c r="A175" s="69" t="s">
        <v>463</v>
      </c>
      <c r="B175" s="284" t="str">
        <f>t4othertot</f>
        <v>#REF!</v>
      </c>
    </row>
    <row r="176" ht="12.75" customHeight="1">
      <c r="A176" s="69" t="s">
        <v>464</v>
      </c>
      <c r="B176" s="281" t="str">
        <f>t4casecount</f>
        <v>#REF!</v>
      </c>
    </row>
    <row r="177" ht="12.75" customHeight="1">
      <c r="A177" s="69" t="s">
        <v>465</v>
      </c>
      <c r="B177" s="285" t="str">
        <f>t4yobgpercap</f>
        <v>#REF!</v>
      </c>
    </row>
    <row r="178" ht="12.75" customHeight="1">
      <c r="A178" s="69" t="s">
        <v>466</v>
      </c>
      <c r="B178" s="285" t="str">
        <f>t4totpercap</f>
        <v>#REF!</v>
      </c>
    </row>
    <row r="179" ht="12.75" customHeight="1">
      <c r="A179" s="69" t="s">
        <v>467</v>
      </c>
      <c r="B179" s="281" t="str">
        <f>t4youth1</f>
        <v>#REF!</v>
      </c>
    </row>
    <row r="180" ht="12.75" customHeight="1">
      <c r="A180" s="69" t="s">
        <v>468</v>
      </c>
      <c r="B180" s="281" t="str">
        <f>t4youth2</f>
        <v>#REF!</v>
      </c>
    </row>
    <row r="181" ht="12.75" customHeight="1">
      <c r="A181" s="69" t="s">
        <v>469</v>
      </c>
      <c r="B181" s="281" t="str">
        <f>t4youth3</f>
        <v>#REF!</v>
      </c>
    </row>
    <row r="182" ht="12.75" customHeight="1">
      <c r="A182" s="69" t="s">
        <v>470</v>
      </c>
      <c r="B182" s="281" t="str">
        <f>t4youth4</f>
        <v>#REF!</v>
      </c>
    </row>
    <row r="183" ht="12.75" customHeight="1">
      <c r="A183" s="69" t="s">
        <v>471</v>
      </c>
      <c r="B183" s="281" t="str">
        <f>t4youth5</f>
        <v>#REF!</v>
      </c>
    </row>
    <row r="184" ht="12.75" customHeight="1">
      <c r="A184" s="69" t="s">
        <v>472</v>
      </c>
      <c r="B184" s="281" t="str">
        <f>t4youth6</f>
        <v>#REF!</v>
      </c>
    </row>
    <row r="185" ht="12.75" customHeight="1">
      <c r="A185" s="69" t="s">
        <v>473</v>
      </c>
      <c r="B185" s="69" t="str">
        <f>Numecodet5</f>
        <v>#REF!</v>
      </c>
    </row>
    <row r="186" ht="12.75" customHeight="1">
      <c r="A186" s="69" t="s">
        <v>474</v>
      </c>
      <c r="B186" s="69" t="str">
        <f>Numealtt5</f>
        <v>#REF!</v>
      </c>
    </row>
    <row r="187" ht="12.75" customHeight="1">
      <c r="A187" s="69" t="s">
        <v>475</v>
      </c>
      <c r="B187" s="284" t="str">
        <f>t5yobgsal</f>
        <v>#REF!</v>
      </c>
    </row>
    <row r="188" ht="12.75" customHeight="1">
      <c r="A188" s="69" t="s">
        <v>476</v>
      </c>
      <c r="B188" s="284" t="str">
        <f>t5yobgserv</f>
        <v>#REF!</v>
      </c>
    </row>
    <row r="189" ht="12.75" customHeight="1">
      <c r="A189" s="69" t="s">
        <v>477</v>
      </c>
      <c r="B189" s="284" t="str">
        <f>t5yobgprof</f>
        <v>#REF!</v>
      </c>
    </row>
    <row r="190" ht="12.75" customHeight="1">
      <c r="A190" s="69" t="s">
        <v>478</v>
      </c>
      <c r="B190" s="284" t="str">
        <f>t5yobgcbo</f>
        <v>#REF!</v>
      </c>
    </row>
    <row r="191" ht="12.75" customHeight="1">
      <c r="A191" s="69" t="s">
        <v>479</v>
      </c>
      <c r="B191" s="284" t="str">
        <f>t5yobgequip</f>
        <v>#REF!</v>
      </c>
    </row>
    <row r="192" ht="12.75" customHeight="1">
      <c r="A192" s="69" t="s">
        <v>480</v>
      </c>
      <c r="B192" s="284" t="str">
        <f>t5yobgadmin</f>
        <v>#REF!</v>
      </c>
    </row>
    <row r="193" ht="12.75" customHeight="1">
      <c r="A193" s="69" t="s">
        <v>481</v>
      </c>
      <c r="B193" s="284" t="str">
        <f>t5yobgothr1</f>
        <v>#REF!</v>
      </c>
    </row>
    <row r="194" ht="12.75" customHeight="1">
      <c r="A194" s="69" t="s">
        <v>482</v>
      </c>
      <c r="B194" s="284" t="str">
        <f>t5yobgothr2</f>
        <v>#REF!</v>
      </c>
    </row>
    <row r="195" ht="12.75" customHeight="1">
      <c r="A195" s="69" t="s">
        <v>483</v>
      </c>
      <c r="B195" s="284" t="str">
        <f>t5yobgothr3</f>
        <v>#REF!</v>
      </c>
    </row>
    <row r="196" ht="12.75" customHeight="1">
      <c r="A196" s="69" t="s">
        <v>484</v>
      </c>
      <c r="B196" s="284" t="str">
        <f>t5yobgtot</f>
        <v>#REF!</v>
      </c>
    </row>
    <row r="197" ht="12.75" customHeight="1">
      <c r="A197" s="69" t="s">
        <v>485</v>
      </c>
      <c r="B197" s="284" t="str">
        <f>t5jjcpasal</f>
        <v>#REF!</v>
      </c>
    </row>
    <row r="198" ht="12.75" customHeight="1">
      <c r="A198" s="69" t="s">
        <v>486</v>
      </c>
      <c r="B198" s="284" t="str">
        <f>t5jjcpaserv</f>
        <v>#REF!</v>
      </c>
    </row>
    <row r="199" ht="12.75" customHeight="1">
      <c r="A199" s="69" t="s">
        <v>487</v>
      </c>
      <c r="B199" s="284" t="str">
        <f>t5jjcpaprof</f>
        <v>#REF!</v>
      </c>
    </row>
    <row r="200" ht="12.75" customHeight="1">
      <c r="A200" s="69" t="s">
        <v>488</v>
      </c>
      <c r="B200" s="284" t="str">
        <f>t5jjcpacbo</f>
        <v>#REF!</v>
      </c>
    </row>
    <row r="201" ht="12.75" customHeight="1">
      <c r="A201" s="69" t="s">
        <v>489</v>
      </c>
      <c r="B201" s="284" t="str">
        <f>t5jjcpaequip</f>
        <v>#REF!</v>
      </c>
    </row>
    <row r="202" ht="12.75" customHeight="1">
      <c r="A202" s="69" t="s">
        <v>490</v>
      </c>
      <c r="B202" s="284" t="str">
        <f>t5jjcpaadmin</f>
        <v>#REF!</v>
      </c>
    </row>
    <row r="203" ht="12.75" customHeight="1">
      <c r="A203" s="69" t="s">
        <v>491</v>
      </c>
      <c r="B203" s="284" t="str">
        <f>t5jjcpaothr1</f>
        <v>#REF!</v>
      </c>
    </row>
    <row r="204" ht="12.75" customHeight="1">
      <c r="A204" s="69" t="s">
        <v>492</v>
      </c>
      <c r="B204" s="284" t="str">
        <f>t5jjcpaothr2</f>
        <v>#REF!</v>
      </c>
    </row>
    <row r="205" ht="12.75" customHeight="1">
      <c r="A205" s="69" t="s">
        <v>493</v>
      </c>
      <c r="B205" s="284" t="str">
        <f>t5jjcpaothr3</f>
        <v>#REF!</v>
      </c>
    </row>
    <row r="206" ht="12.75" customHeight="1">
      <c r="A206" s="69" t="s">
        <v>494</v>
      </c>
      <c r="B206" s="284" t="str">
        <f>t5jjcpatot</f>
        <v>#REF!</v>
      </c>
    </row>
    <row r="207" ht="12.75" customHeight="1">
      <c r="A207" s="69" t="s">
        <v>495</v>
      </c>
      <c r="B207" s="284" t="str">
        <f>t5othersal</f>
        <v>#REF!</v>
      </c>
    </row>
    <row r="208" ht="12.75" customHeight="1">
      <c r="A208" s="69" t="s">
        <v>496</v>
      </c>
      <c r="B208" s="284" t="str">
        <f>t5otherserv</f>
        <v>#REF!</v>
      </c>
    </row>
    <row r="209" ht="12.75" customHeight="1">
      <c r="A209" s="69" t="s">
        <v>497</v>
      </c>
      <c r="B209" s="284" t="str">
        <f>t5otherprof</f>
        <v>#REF!</v>
      </c>
    </row>
    <row r="210" ht="12.75" customHeight="1">
      <c r="A210" s="69" t="s">
        <v>498</v>
      </c>
      <c r="B210" s="284" t="str">
        <f>t5othercbo</f>
        <v>#REF!</v>
      </c>
    </row>
    <row r="211" ht="12.75" customHeight="1">
      <c r="A211" s="69" t="s">
        <v>499</v>
      </c>
      <c r="B211" s="284" t="str">
        <f>t5otherequip</f>
        <v>#REF!</v>
      </c>
    </row>
    <row r="212" ht="12.75" customHeight="1">
      <c r="A212" s="69" t="s">
        <v>500</v>
      </c>
      <c r="B212" s="284" t="str">
        <f>t5otheradmin</f>
        <v>#REF!</v>
      </c>
    </row>
    <row r="213" ht="12.75" customHeight="1">
      <c r="A213" s="69" t="s">
        <v>501</v>
      </c>
      <c r="B213" s="284" t="str">
        <f>t5otherothr1</f>
        <v>#REF!</v>
      </c>
    </row>
    <row r="214" ht="12.75" customHeight="1">
      <c r="A214" s="69" t="s">
        <v>502</v>
      </c>
      <c r="B214" s="284" t="str">
        <f>t5otherothr2</f>
        <v>#REF!</v>
      </c>
    </row>
    <row r="215" ht="12.75" customHeight="1">
      <c r="A215" s="69" t="s">
        <v>503</v>
      </c>
      <c r="B215" s="284" t="str">
        <f>t5otherothr3</f>
        <v>#REF!</v>
      </c>
    </row>
    <row r="216" ht="12.75" customHeight="1">
      <c r="A216" s="69" t="s">
        <v>504</v>
      </c>
      <c r="B216" s="284" t="str">
        <f>t5othertot</f>
        <v>#REF!</v>
      </c>
    </row>
    <row r="217" ht="12.75" customHeight="1">
      <c r="A217" s="69" t="s">
        <v>505</v>
      </c>
      <c r="B217" s="281" t="str">
        <f>t5casecount</f>
        <v>#REF!</v>
      </c>
    </row>
    <row r="218" ht="12.75" customHeight="1">
      <c r="A218" s="69" t="s">
        <v>506</v>
      </c>
      <c r="B218" s="285" t="str">
        <f>t5yobgpercap</f>
        <v>#REF!</v>
      </c>
    </row>
    <row r="219" ht="12.75" customHeight="1">
      <c r="A219" s="69" t="s">
        <v>507</v>
      </c>
      <c r="B219" s="285" t="str">
        <f>t5totpercap</f>
        <v>#REF!</v>
      </c>
    </row>
    <row r="220" ht="12.75" customHeight="1">
      <c r="A220" s="69" t="s">
        <v>508</v>
      </c>
      <c r="B220" s="281" t="str">
        <f>t5youth1</f>
        <v>#REF!</v>
      </c>
    </row>
    <row r="221" ht="12.75" customHeight="1">
      <c r="A221" s="69" t="s">
        <v>509</v>
      </c>
      <c r="B221" s="281" t="str">
        <f>t5youth2</f>
        <v>#REF!</v>
      </c>
    </row>
    <row r="222" ht="12.75" customHeight="1">
      <c r="A222" s="69" t="s">
        <v>510</v>
      </c>
      <c r="B222" s="281" t="str">
        <f>t5youth3</f>
        <v>#REF!</v>
      </c>
    </row>
    <row r="223" ht="12.75" customHeight="1">
      <c r="A223" s="69" t="s">
        <v>511</v>
      </c>
      <c r="B223" s="281" t="str">
        <f>t5youth4</f>
        <v>#REF!</v>
      </c>
    </row>
    <row r="224" ht="12.75" customHeight="1">
      <c r="A224" s="69" t="s">
        <v>512</v>
      </c>
      <c r="B224" s="281" t="str">
        <f>t5youth5</f>
        <v>#REF!</v>
      </c>
    </row>
    <row r="225" ht="12.75" customHeight="1">
      <c r="A225" s="69" t="s">
        <v>513</v>
      </c>
      <c r="B225" s="281" t="str">
        <f>t5youth6</f>
        <v>#REF!</v>
      </c>
    </row>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dataValidation type="list" allowBlank="1" showDropDown="1" showErrorMessage="1" sqref="B5">
      <formula1>Address2</formula1>
    </dataValidation>
  </dataValidations>
  <printOptions/>
  <pageMargins bottom="1.0" footer="0.0" header="0.0" left="0.75" right="0.75" top="1.0"/>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5"/>
    <col customWidth="1" min="2" max="2" width="43.88"/>
    <col customWidth="1" min="3" max="26" width="8.88"/>
  </cols>
  <sheetData>
    <row r="1" ht="12.75" customHeight="1">
      <c r="A1" s="69" t="s">
        <v>289</v>
      </c>
      <c r="B1" s="28" t="str">
        <f>County</f>
        <v>Amador</v>
      </c>
    </row>
    <row r="2" ht="12.75" customHeight="1">
      <c r="A2" s="69" t="s">
        <v>514</v>
      </c>
      <c r="B2" s="69" t="str">
        <f>Numecodet6</f>
        <v>#REF!</v>
      </c>
    </row>
    <row r="3" ht="12.75" customHeight="1">
      <c r="A3" s="69" t="s">
        <v>515</v>
      </c>
      <c r="B3" s="69" t="str">
        <f>Numealtt6</f>
        <v>#REF!</v>
      </c>
    </row>
    <row r="4" ht="12.75" customHeight="1">
      <c r="A4" s="69" t="s">
        <v>516</v>
      </c>
      <c r="B4" s="284" t="str">
        <f>t6yobgsal</f>
        <v>#REF!</v>
      </c>
    </row>
    <row r="5" ht="12.75" customHeight="1">
      <c r="A5" s="69" t="s">
        <v>517</v>
      </c>
      <c r="B5" s="284" t="str">
        <f>t6yobgserv</f>
        <v>#REF!</v>
      </c>
    </row>
    <row r="6" ht="12.75" customHeight="1">
      <c r="A6" s="69" t="s">
        <v>518</v>
      </c>
      <c r="B6" s="284" t="str">
        <f>t6yobgprof</f>
        <v>#REF!</v>
      </c>
    </row>
    <row r="7" ht="12.75" customHeight="1">
      <c r="A7" s="69" t="s">
        <v>519</v>
      </c>
      <c r="B7" s="284" t="str">
        <f>t6yobgcbo</f>
        <v>#REF!</v>
      </c>
    </row>
    <row r="8" ht="12.75" customHeight="1">
      <c r="A8" s="69" t="s">
        <v>520</v>
      </c>
      <c r="B8" s="284" t="str">
        <f>t6yobgequip</f>
        <v>#REF!</v>
      </c>
    </row>
    <row r="9" ht="12.75" customHeight="1">
      <c r="A9" s="69" t="s">
        <v>521</v>
      </c>
      <c r="B9" s="284" t="str">
        <f>t6yobgadmin</f>
        <v>#REF!</v>
      </c>
    </row>
    <row r="10" ht="12.75" customHeight="1">
      <c r="A10" s="69" t="s">
        <v>522</v>
      </c>
      <c r="B10" s="284" t="str">
        <f>t6yobgothr1</f>
        <v>#REF!</v>
      </c>
    </row>
    <row r="11" ht="12.75" customHeight="1">
      <c r="A11" s="69" t="s">
        <v>523</v>
      </c>
      <c r="B11" s="284" t="str">
        <f>t6yobgothr2</f>
        <v>#REF!</v>
      </c>
    </row>
    <row r="12" ht="12.75" customHeight="1">
      <c r="A12" s="69" t="s">
        <v>524</v>
      </c>
      <c r="B12" s="284" t="str">
        <f>t6yobgothr3</f>
        <v>#REF!</v>
      </c>
    </row>
    <row r="13" ht="12.75" customHeight="1">
      <c r="A13" s="69" t="s">
        <v>525</v>
      </c>
      <c r="B13" s="284" t="str">
        <f>t6yobgtot</f>
        <v>#REF!</v>
      </c>
    </row>
    <row r="14" ht="12.75" customHeight="1">
      <c r="A14" s="69" t="s">
        <v>526</v>
      </c>
      <c r="B14" s="284" t="str">
        <f>t6jjcpasal</f>
        <v>#REF!</v>
      </c>
    </row>
    <row r="15" ht="12.75" customHeight="1">
      <c r="A15" s="69" t="s">
        <v>527</v>
      </c>
      <c r="B15" s="284" t="str">
        <f>t6jjcpaserv</f>
        <v>#REF!</v>
      </c>
    </row>
    <row r="16" ht="12.75" customHeight="1">
      <c r="A16" s="69" t="s">
        <v>528</v>
      </c>
      <c r="B16" s="284" t="str">
        <f>t6jjcpaprof</f>
        <v>#REF!</v>
      </c>
    </row>
    <row r="17" ht="12.75" customHeight="1">
      <c r="A17" s="69" t="s">
        <v>529</v>
      </c>
      <c r="B17" s="284" t="str">
        <f>t6jjcpacbo</f>
        <v>#REF!</v>
      </c>
    </row>
    <row r="18" ht="12.75" customHeight="1">
      <c r="A18" s="69" t="s">
        <v>530</v>
      </c>
      <c r="B18" s="284" t="str">
        <f>t6jjcpaequip</f>
        <v>#REF!</v>
      </c>
    </row>
    <row r="19" ht="12.75" customHeight="1">
      <c r="A19" s="69" t="s">
        <v>531</v>
      </c>
      <c r="B19" s="284" t="str">
        <f>t6jjcpaadmin</f>
        <v>#REF!</v>
      </c>
    </row>
    <row r="20" ht="12.75" customHeight="1">
      <c r="A20" s="69" t="s">
        <v>532</v>
      </c>
      <c r="B20" s="284" t="str">
        <f>t6jjcpaothr1</f>
        <v>#REF!</v>
      </c>
    </row>
    <row r="21" ht="12.75" customHeight="1">
      <c r="A21" s="69" t="s">
        <v>533</v>
      </c>
      <c r="B21" s="284" t="str">
        <f>t6jjcpaothr2</f>
        <v>#REF!</v>
      </c>
    </row>
    <row r="22" ht="12.75" customHeight="1">
      <c r="A22" s="69" t="s">
        <v>534</v>
      </c>
      <c r="B22" s="284" t="str">
        <f>t6jjcpaothr3</f>
        <v>#REF!</v>
      </c>
    </row>
    <row r="23" ht="12.75" customHeight="1">
      <c r="A23" s="69" t="s">
        <v>535</v>
      </c>
      <c r="B23" s="284" t="str">
        <f>t6jjcpatot</f>
        <v>#REF!</v>
      </c>
    </row>
    <row r="24" ht="12.75" customHeight="1">
      <c r="A24" s="69" t="s">
        <v>536</v>
      </c>
      <c r="B24" s="284" t="str">
        <f>t6othersal</f>
        <v>#REF!</v>
      </c>
    </row>
    <row r="25" ht="12.75" customHeight="1">
      <c r="A25" s="69" t="s">
        <v>537</v>
      </c>
      <c r="B25" s="284" t="str">
        <f>t6otherserv</f>
        <v>#REF!</v>
      </c>
    </row>
    <row r="26" ht="12.75" customHeight="1">
      <c r="A26" s="69" t="s">
        <v>538</v>
      </c>
      <c r="B26" s="284" t="str">
        <f>t6otherprof</f>
        <v>#REF!</v>
      </c>
    </row>
    <row r="27" ht="12.75" customHeight="1">
      <c r="A27" s="69" t="s">
        <v>539</v>
      </c>
      <c r="B27" s="284" t="str">
        <f>t6othercbo</f>
        <v>#REF!</v>
      </c>
    </row>
    <row r="28" ht="12.75" customHeight="1">
      <c r="A28" s="69" t="s">
        <v>540</v>
      </c>
      <c r="B28" s="284" t="str">
        <f>t6otherequip</f>
        <v>#REF!</v>
      </c>
    </row>
    <row r="29" ht="12.75" customHeight="1">
      <c r="A29" s="69" t="s">
        <v>541</v>
      </c>
      <c r="B29" s="284" t="str">
        <f>t6otheradmin</f>
        <v>#REF!</v>
      </c>
    </row>
    <row r="30" ht="12.75" customHeight="1">
      <c r="A30" s="69" t="s">
        <v>542</v>
      </c>
      <c r="B30" s="284" t="str">
        <f>t6otherothr1</f>
        <v>#REF!</v>
      </c>
    </row>
    <row r="31" ht="12.75" customHeight="1">
      <c r="A31" s="69" t="s">
        <v>543</v>
      </c>
      <c r="B31" s="284" t="str">
        <f>t6otherothr2</f>
        <v>#REF!</v>
      </c>
    </row>
    <row r="32" ht="12.75" customHeight="1">
      <c r="A32" s="69" t="s">
        <v>544</v>
      </c>
      <c r="B32" s="284" t="str">
        <f>t6otherothr3</f>
        <v>#REF!</v>
      </c>
    </row>
    <row r="33" ht="12.75" customHeight="1">
      <c r="A33" s="69" t="s">
        <v>545</v>
      </c>
      <c r="B33" s="284" t="str">
        <f>t6othertot</f>
        <v>#REF!</v>
      </c>
    </row>
    <row r="34" ht="12.75" customHeight="1">
      <c r="A34" s="69" t="s">
        <v>546</v>
      </c>
      <c r="B34" s="281" t="str">
        <f>t6casecount</f>
        <v>#REF!</v>
      </c>
    </row>
    <row r="35" ht="12.75" customHeight="1">
      <c r="A35" s="69" t="s">
        <v>547</v>
      </c>
      <c r="B35" s="285" t="str">
        <f>t6yobgpercap</f>
        <v>#REF!</v>
      </c>
    </row>
    <row r="36" ht="12.75" customHeight="1">
      <c r="A36" s="69" t="s">
        <v>548</v>
      </c>
      <c r="B36" s="285" t="str">
        <f>t6totpercap</f>
        <v>#REF!</v>
      </c>
    </row>
    <row r="37" ht="12.75" customHeight="1">
      <c r="A37" s="69" t="s">
        <v>549</v>
      </c>
      <c r="B37" s="281" t="str">
        <f>t6youth1</f>
        <v>#REF!</v>
      </c>
    </row>
    <row r="38" ht="12.75" customHeight="1">
      <c r="A38" s="69" t="s">
        <v>550</v>
      </c>
      <c r="B38" s="281" t="str">
        <f>t6youth2</f>
        <v>#REF!</v>
      </c>
    </row>
    <row r="39" ht="12.75" customHeight="1">
      <c r="A39" s="69" t="s">
        <v>551</v>
      </c>
      <c r="B39" s="281" t="str">
        <f>t6youth3</f>
        <v>#REF!</v>
      </c>
    </row>
    <row r="40" ht="12.75" customHeight="1">
      <c r="A40" s="69" t="s">
        <v>552</v>
      </c>
      <c r="B40" s="281" t="str">
        <f>t6youth4</f>
        <v>#REF!</v>
      </c>
    </row>
    <row r="41" ht="12.75" customHeight="1">
      <c r="A41" s="69" t="s">
        <v>553</v>
      </c>
      <c r="B41" s="281" t="str">
        <f>t6youth5</f>
        <v>#REF!</v>
      </c>
    </row>
    <row r="42" ht="12.75" customHeight="1">
      <c r="A42" s="69" t="s">
        <v>554</v>
      </c>
      <c r="B42" s="281" t="str">
        <f>t6youth6</f>
        <v>#REF!</v>
      </c>
    </row>
    <row r="43" ht="12.75" customHeight="1">
      <c r="A43" s="69" t="s">
        <v>555</v>
      </c>
      <c r="B43" s="69" t="str">
        <f>Numecodet7</f>
        <v>#REF!</v>
      </c>
    </row>
    <row r="44" ht="12.75" customHeight="1">
      <c r="A44" s="69" t="s">
        <v>556</v>
      </c>
      <c r="B44" s="69" t="str">
        <f>Numealtt7</f>
        <v>#REF!</v>
      </c>
    </row>
    <row r="45" ht="12.75" customHeight="1">
      <c r="A45" s="69" t="s">
        <v>557</v>
      </c>
      <c r="B45" s="284" t="str">
        <f>t7yobgsal</f>
        <v>#REF!</v>
      </c>
    </row>
    <row r="46" ht="12.75" customHeight="1">
      <c r="A46" s="69" t="s">
        <v>558</v>
      </c>
      <c r="B46" s="284" t="str">
        <f>t7yobgserv</f>
        <v>#REF!</v>
      </c>
    </row>
    <row r="47" ht="12.75" customHeight="1">
      <c r="A47" s="69" t="s">
        <v>559</v>
      </c>
      <c r="B47" s="284" t="str">
        <f>t7yobgprof</f>
        <v>#REF!</v>
      </c>
    </row>
    <row r="48" ht="12.75" customHeight="1">
      <c r="A48" s="69" t="s">
        <v>560</v>
      </c>
      <c r="B48" s="284" t="str">
        <f>t7yobgcbo</f>
        <v>#REF!</v>
      </c>
    </row>
    <row r="49" ht="12.75" customHeight="1">
      <c r="A49" s="69" t="s">
        <v>561</v>
      </c>
      <c r="B49" s="284" t="str">
        <f>t7yobgequip</f>
        <v>#REF!</v>
      </c>
    </row>
    <row r="50" ht="12.75" customHeight="1">
      <c r="A50" s="69" t="s">
        <v>562</v>
      </c>
      <c r="B50" s="284" t="str">
        <f>t7yobgadmin</f>
        <v>#REF!</v>
      </c>
    </row>
    <row r="51" ht="12.75" customHeight="1">
      <c r="A51" s="69" t="s">
        <v>563</v>
      </c>
      <c r="B51" s="284" t="str">
        <f>t7yobgothr1</f>
        <v>#REF!</v>
      </c>
    </row>
    <row r="52" ht="12.75" customHeight="1">
      <c r="A52" s="69" t="s">
        <v>564</v>
      </c>
      <c r="B52" s="284" t="str">
        <f>t7yobgothr2</f>
        <v>#REF!</v>
      </c>
    </row>
    <row r="53" ht="12.75" customHeight="1">
      <c r="A53" s="69" t="s">
        <v>565</v>
      </c>
      <c r="B53" s="284" t="str">
        <f>t7yobgothr3</f>
        <v>#REF!</v>
      </c>
    </row>
    <row r="54" ht="12.75" customHeight="1">
      <c r="A54" s="69" t="s">
        <v>566</v>
      </c>
      <c r="B54" s="284" t="str">
        <f>t7yobgtot</f>
        <v>#REF!</v>
      </c>
    </row>
    <row r="55" ht="12.75" customHeight="1">
      <c r="A55" s="69" t="s">
        <v>567</v>
      </c>
      <c r="B55" s="284" t="str">
        <f>t7jjcpasal</f>
        <v>#REF!</v>
      </c>
    </row>
    <row r="56" ht="12.75" customHeight="1">
      <c r="A56" s="69" t="s">
        <v>568</v>
      </c>
      <c r="B56" s="284" t="str">
        <f>t7jjcpaserv</f>
        <v>#REF!</v>
      </c>
    </row>
    <row r="57" ht="12.75" customHeight="1">
      <c r="A57" s="69" t="s">
        <v>569</v>
      </c>
      <c r="B57" s="284" t="str">
        <f>t7jjcpaprof</f>
        <v>#REF!</v>
      </c>
    </row>
    <row r="58" ht="12.75" customHeight="1">
      <c r="A58" s="69" t="s">
        <v>570</v>
      </c>
      <c r="B58" s="284" t="str">
        <f>t7jjcpacbo</f>
        <v>#REF!</v>
      </c>
    </row>
    <row r="59" ht="12.75" customHeight="1">
      <c r="A59" s="69" t="s">
        <v>571</v>
      </c>
      <c r="B59" s="284" t="str">
        <f>t7jjcpaequip</f>
        <v>#REF!</v>
      </c>
    </row>
    <row r="60" ht="12.75" customHeight="1">
      <c r="A60" s="69" t="s">
        <v>572</v>
      </c>
      <c r="B60" s="284" t="str">
        <f>t7jjcpaadmin</f>
        <v>#REF!</v>
      </c>
    </row>
    <row r="61" ht="12.75" customHeight="1">
      <c r="A61" s="69" t="s">
        <v>573</v>
      </c>
      <c r="B61" s="284" t="str">
        <f>t7jjcpaothr1</f>
        <v>#REF!</v>
      </c>
    </row>
    <row r="62" ht="12.75" customHeight="1">
      <c r="A62" s="69" t="s">
        <v>574</v>
      </c>
      <c r="B62" s="284" t="str">
        <f>t7jjcpaothr2</f>
        <v>#REF!</v>
      </c>
    </row>
    <row r="63" ht="12.75" customHeight="1">
      <c r="A63" s="69" t="s">
        <v>575</v>
      </c>
      <c r="B63" s="284" t="str">
        <f>t7jjcpaothr3</f>
        <v>#REF!</v>
      </c>
    </row>
    <row r="64" ht="12.75" customHeight="1">
      <c r="A64" s="69" t="s">
        <v>576</v>
      </c>
      <c r="B64" s="284" t="str">
        <f>t7jjcpatot</f>
        <v>#REF!</v>
      </c>
    </row>
    <row r="65" ht="12.75" customHeight="1">
      <c r="A65" s="69" t="s">
        <v>577</v>
      </c>
      <c r="B65" s="284" t="str">
        <f>t7othersal</f>
        <v>#REF!</v>
      </c>
    </row>
    <row r="66" ht="12.75" customHeight="1">
      <c r="A66" s="69" t="s">
        <v>578</v>
      </c>
      <c r="B66" s="284" t="str">
        <f>t7otherserv</f>
        <v>#REF!</v>
      </c>
    </row>
    <row r="67" ht="12.75" customHeight="1">
      <c r="A67" s="69" t="s">
        <v>579</v>
      </c>
      <c r="B67" s="284" t="str">
        <f>t7otherprof</f>
        <v>#REF!</v>
      </c>
    </row>
    <row r="68" ht="12.75" customHeight="1">
      <c r="A68" s="69" t="s">
        <v>580</v>
      </c>
      <c r="B68" s="284" t="str">
        <f>t7othercbo</f>
        <v>#REF!</v>
      </c>
    </row>
    <row r="69" ht="12.75" customHeight="1">
      <c r="A69" s="69" t="s">
        <v>581</v>
      </c>
      <c r="B69" s="284" t="str">
        <f>t7otherequip</f>
        <v>#REF!</v>
      </c>
    </row>
    <row r="70" ht="12.75" customHeight="1">
      <c r="A70" s="69" t="s">
        <v>582</v>
      </c>
      <c r="B70" s="284" t="str">
        <f>t7otheradmin</f>
        <v>#REF!</v>
      </c>
    </row>
    <row r="71" ht="12.75" customHeight="1">
      <c r="A71" s="69" t="s">
        <v>583</v>
      </c>
      <c r="B71" s="284" t="str">
        <f>t7otherothr1</f>
        <v>#REF!</v>
      </c>
    </row>
    <row r="72" ht="12.75" customHeight="1">
      <c r="A72" s="69" t="s">
        <v>584</v>
      </c>
      <c r="B72" s="284" t="str">
        <f>t7otherothr2</f>
        <v>#REF!</v>
      </c>
    </row>
    <row r="73" ht="12.75" customHeight="1">
      <c r="A73" s="69" t="s">
        <v>585</v>
      </c>
      <c r="B73" s="284" t="str">
        <f>t7otherothr3</f>
        <v>#REF!</v>
      </c>
    </row>
    <row r="74" ht="12.75" customHeight="1">
      <c r="A74" s="69" t="s">
        <v>586</v>
      </c>
      <c r="B74" s="284" t="str">
        <f>t7othertot</f>
        <v>#REF!</v>
      </c>
    </row>
    <row r="75" ht="12.75" customHeight="1">
      <c r="A75" s="69" t="s">
        <v>587</v>
      </c>
      <c r="B75" s="281" t="str">
        <f>t7casecount</f>
        <v>#REF!</v>
      </c>
    </row>
    <row r="76" ht="12.75" customHeight="1">
      <c r="A76" s="69" t="s">
        <v>588</v>
      </c>
      <c r="B76" s="285" t="str">
        <f>t7yobgpercap</f>
        <v>#REF!</v>
      </c>
    </row>
    <row r="77" ht="12.75" customHeight="1">
      <c r="A77" s="69" t="s">
        <v>589</v>
      </c>
      <c r="B77" s="285" t="str">
        <f>t7totpercap</f>
        <v>#REF!</v>
      </c>
    </row>
    <row r="78" ht="12.75" customHeight="1">
      <c r="A78" s="69" t="s">
        <v>590</v>
      </c>
      <c r="B78" s="281" t="str">
        <f>t7youth1</f>
        <v>#REF!</v>
      </c>
    </row>
    <row r="79" ht="12.75" customHeight="1">
      <c r="A79" s="69" t="s">
        <v>591</v>
      </c>
      <c r="B79" s="281" t="str">
        <f>t7youth2</f>
        <v>#REF!</v>
      </c>
    </row>
    <row r="80" ht="12.75" customHeight="1">
      <c r="A80" s="69" t="s">
        <v>592</v>
      </c>
      <c r="B80" s="281" t="str">
        <f>t7youth3</f>
        <v>#REF!</v>
      </c>
    </row>
    <row r="81" ht="12.75" customHeight="1">
      <c r="A81" s="69" t="s">
        <v>593</v>
      </c>
      <c r="B81" s="281" t="str">
        <f>t7youth4</f>
        <v>#REF!</v>
      </c>
    </row>
    <row r="82" ht="12.75" customHeight="1">
      <c r="A82" s="69" t="s">
        <v>594</v>
      </c>
      <c r="B82" s="281" t="str">
        <f>t7youth5</f>
        <v>#REF!</v>
      </c>
    </row>
    <row r="83" ht="12.75" customHeight="1">
      <c r="A83" s="69" t="s">
        <v>595</v>
      </c>
      <c r="B83" s="281" t="str">
        <f>t7youth6</f>
        <v>#REF!</v>
      </c>
    </row>
    <row r="84" ht="12.75" customHeight="1">
      <c r="A84" s="69" t="s">
        <v>596</v>
      </c>
      <c r="B84" s="69" t="str">
        <f>Numecodet8</f>
        <v>#REF!</v>
      </c>
    </row>
    <row r="85" ht="12.75" customHeight="1">
      <c r="A85" s="69" t="s">
        <v>597</v>
      </c>
      <c r="B85" s="69" t="str">
        <f>Numealtt8</f>
        <v>#REF!</v>
      </c>
    </row>
    <row r="86" ht="12.75" customHeight="1">
      <c r="A86" s="69" t="s">
        <v>598</v>
      </c>
      <c r="B86" s="284" t="str">
        <f>t8yobgsal</f>
        <v>#REF!</v>
      </c>
    </row>
    <row r="87" ht="12.75" customHeight="1">
      <c r="A87" s="69" t="s">
        <v>599</v>
      </c>
      <c r="B87" s="284" t="str">
        <f>t8yobgserv</f>
        <v>#REF!</v>
      </c>
    </row>
    <row r="88" ht="12.75" customHeight="1">
      <c r="A88" s="69" t="s">
        <v>600</v>
      </c>
      <c r="B88" s="284" t="str">
        <f>t8yobgprof</f>
        <v>#REF!</v>
      </c>
    </row>
    <row r="89" ht="12.75" customHeight="1">
      <c r="A89" s="69" t="s">
        <v>601</v>
      </c>
      <c r="B89" s="284" t="str">
        <f>t8yobgcbo</f>
        <v>#REF!</v>
      </c>
    </row>
    <row r="90" ht="12.75" customHeight="1">
      <c r="A90" s="69" t="s">
        <v>602</v>
      </c>
      <c r="B90" s="284" t="str">
        <f>t8yobgequip</f>
        <v>#REF!</v>
      </c>
    </row>
    <row r="91" ht="12.75" customHeight="1">
      <c r="A91" s="69" t="s">
        <v>603</v>
      </c>
      <c r="B91" s="284" t="str">
        <f>t8yobgadmin</f>
        <v>#REF!</v>
      </c>
    </row>
    <row r="92" ht="12.75" customHeight="1">
      <c r="A92" s="69" t="s">
        <v>604</v>
      </c>
      <c r="B92" s="284" t="str">
        <f>t8yobgothr1</f>
        <v>#REF!</v>
      </c>
    </row>
    <row r="93" ht="12.75" customHeight="1">
      <c r="A93" s="69" t="s">
        <v>605</v>
      </c>
      <c r="B93" s="284" t="str">
        <f>t8yobgothr2</f>
        <v>#REF!</v>
      </c>
    </row>
    <row r="94" ht="12.75" customHeight="1">
      <c r="A94" s="69" t="s">
        <v>606</v>
      </c>
      <c r="B94" s="284" t="str">
        <f>t8yobgothr3</f>
        <v>#REF!</v>
      </c>
    </row>
    <row r="95" ht="12.75" customHeight="1">
      <c r="A95" s="69" t="s">
        <v>607</v>
      </c>
      <c r="B95" s="284" t="str">
        <f>t8yobgtot</f>
        <v>#REF!</v>
      </c>
    </row>
    <row r="96" ht="12.75" customHeight="1">
      <c r="A96" s="69" t="s">
        <v>608</v>
      </c>
      <c r="B96" s="284" t="str">
        <f>t8jjcpasal</f>
        <v>#REF!</v>
      </c>
    </row>
    <row r="97" ht="12.75" customHeight="1">
      <c r="A97" s="69" t="s">
        <v>609</v>
      </c>
      <c r="B97" s="284" t="str">
        <f>t8jjcpaserv</f>
        <v>#REF!</v>
      </c>
    </row>
    <row r="98" ht="12.75" customHeight="1">
      <c r="A98" s="69" t="s">
        <v>610</v>
      </c>
      <c r="B98" s="284" t="str">
        <f>t8jjcpaprof</f>
        <v>#REF!</v>
      </c>
    </row>
    <row r="99" ht="12.75" customHeight="1">
      <c r="A99" s="69" t="s">
        <v>611</v>
      </c>
      <c r="B99" s="284" t="str">
        <f>t8jjcpacbo</f>
        <v>#REF!</v>
      </c>
    </row>
    <row r="100" ht="12.75" customHeight="1">
      <c r="A100" s="69" t="s">
        <v>612</v>
      </c>
      <c r="B100" s="284" t="str">
        <f>t8jjcpaequip</f>
        <v>#REF!</v>
      </c>
    </row>
    <row r="101" ht="12.75" customHeight="1">
      <c r="A101" s="69" t="s">
        <v>613</v>
      </c>
      <c r="B101" s="284" t="str">
        <f>t8jjcpaadmin</f>
        <v>#REF!</v>
      </c>
    </row>
    <row r="102" ht="12.75" customHeight="1">
      <c r="A102" s="69" t="s">
        <v>614</v>
      </c>
      <c r="B102" s="284" t="str">
        <f>t8jjcpaothr1</f>
        <v>#REF!</v>
      </c>
    </row>
    <row r="103" ht="12.75" customHeight="1">
      <c r="A103" s="69" t="s">
        <v>615</v>
      </c>
      <c r="B103" s="284" t="str">
        <f>t8jjcpaothr2</f>
        <v>#REF!</v>
      </c>
    </row>
    <row r="104" ht="12.75" customHeight="1">
      <c r="A104" s="69" t="s">
        <v>616</v>
      </c>
      <c r="B104" s="284" t="str">
        <f>t8jjcpaothr3</f>
        <v>#REF!</v>
      </c>
    </row>
    <row r="105" ht="12.75" customHeight="1">
      <c r="A105" s="69" t="s">
        <v>617</v>
      </c>
      <c r="B105" s="284" t="str">
        <f>t8jjcpatot</f>
        <v>#REF!</v>
      </c>
    </row>
    <row r="106" ht="12.75" customHeight="1">
      <c r="A106" s="69" t="s">
        <v>618</v>
      </c>
      <c r="B106" s="284" t="str">
        <f>t8othersal</f>
        <v>#REF!</v>
      </c>
    </row>
    <row r="107" ht="12.75" customHeight="1">
      <c r="A107" s="69" t="s">
        <v>619</v>
      </c>
      <c r="B107" s="284" t="str">
        <f>t8otherserv</f>
        <v>#REF!</v>
      </c>
    </row>
    <row r="108" ht="12.75" customHeight="1">
      <c r="A108" s="69" t="s">
        <v>620</v>
      </c>
      <c r="B108" s="284" t="str">
        <f>t8otherprof</f>
        <v>#REF!</v>
      </c>
    </row>
    <row r="109" ht="12.75" customHeight="1">
      <c r="A109" s="69" t="s">
        <v>621</v>
      </c>
      <c r="B109" s="284" t="str">
        <f>t8othercbo</f>
        <v>#REF!</v>
      </c>
    </row>
    <row r="110" ht="12.75" customHeight="1">
      <c r="A110" s="69" t="s">
        <v>622</v>
      </c>
      <c r="B110" s="284" t="str">
        <f>t8otherequip</f>
        <v>#REF!</v>
      </c>
    </row>
    <row r="111" ht="12.75" customHeight="1">
      <c r="A111" s="69" t="s">
        <v>623</v>
      </c>
      <c r="B111" s="284" t="str">
        <f>t8otheradmin</f>
        <v>#REF!</v>
      </c>
    </row>
    <row r="112" ht="12.75" customHeight="1">
      <c r="A112" s="69" t="s">
        <v>624</v>
      </c>
      <c r="B112" s="284" t="str">
        <f>t8otherothr1</f>
        <v>#REF!</v>
      </c>
    </row>
    <row r="113" ht="12.75" customHeight="1">
      <c r="A113" s="69" t="s">
        <v>625</v>
      </c>
      <c r="B113" s="284" t="str">
        <f>t8otherothr2</f>
        <v>#REF!</v>
      </c>
    </row>
    <row r="114" ht="12.75" customHeight="1">
      <c r="A114" s="69" t="s">
        <v>626</v>
      </c>
      <c r="B114" s="284" t="str">
        <f>t8otherothr3</f>
        <v>#REF!</v>
      </c>
    </row>
    <row r="115" ht="12.75" customHeight="1">
      <c r="A115" s="69" t="s">
        <v>627</v>
      </c>
      <c r="B115" s="284" t="str">
        <f>t8othertot</f>
        <v>#REF!</v>
      </c>
    </row>
    <row r="116" ht="12.75" customHeight="1">
      <c r="A116" s="69" t="s">
        <v>628</v>
      </c>
      <c r="B116" s="281" t="str">
        <f>t8casecount</f>
        <v>#REF!</v>
      </c>
    </row>
    <row r="117" ht="12.75" customHeight="1">
      <c r="A117" s="69" t="s">
        <v>629</v>
      </c>
      <c r="B117" s="285" t="str">
        <f>t8yobgpercap</f>
        <v>#REF!</v>
      </c>
    </row>
    <row r="118" ht="12.75" customHeight="1">
      <c r="A118" s="69" t="s">
        <v>630</v>
      </c>
      <c r="B118" s="285" t="str">
        <f>t8totpercap</f>
        <v>#REF!</v>
      </c>
    </row>
    <row r="119" ht="12.75" customHeight="1">
      <c r="A119" s="69" t="s">
        <v>631</v>
      </c>
      <c r="B119" s="281" t="str">
        <f>t8youth1</f>
        <v>#REF!</v>
      </c>
    </row>
    <row r="120" ht="12.75" customHeight="1">
      <c r="A120" s="69" t="s">
        <v>632</v>
      </c>
      <c r="B120" s="281" t="str">
        <f>t8youth2</f>
        <v>#REF!</v>
      </c>
    </row>
    <row r="121" ht="12.75" customHeight="1">
      <c r="A121" s="69" t="s">
        <v>633</v>
      </c>
      <c r="B121" s="281" t="str">
        <f>t8youth3</f>
        <v>#REF!</v>
      </c>
    </row>
    <row r="122" ht="12.75" customHeight="1">
      <c r="A122" s="69" t="s">
        <v>634</v>
      </c>
      <c r="B122" s="281" t="str">
        <f>t8youth4</f>
        <v>#REF!</v>
      </c>
    </row>
    <row r="123" ht="12.75" customHeight="1">
      <c r="A123" s="69" t="s">
        <v>635</v>
      </c>
      <c r="B123" s="281" t="str">
        <f>t8youth5</f>
        <v>#REF!</v>
      </c>
    </row>
    <row r="124" ht="12.75" customHeight="1">
      <c r="A124" s="69" t="s">
        <v>636</v>
      </c>
      <c r="B124" s="281" t="str">
        <f>t8youth6</f>
        <v>#REF!</v>
      </c>
    </row>
    <row r="125" ht="12.75" customHeight="1">
      <c r="A125" s="69" t="s">
        <v>637</v>
      </c>
      <c r="B125" s="69" t="str">
        <f>Numecodet9</f>
        <v>#REF!</v>
      </c>
    </row>
    <row r="126" ht="12.75" customHeight="1">
      <c r="A126" s="69" t="s">
        <v>638</v>
      </c>
      <c r="B126" s="69" t="str">
        <f>Numealtt9</f>
        <v>#REF!</v>
      </c>
    </row>
    <row r="127" ht="12.75" customHeight="1">
      <c r="A127" s="69" t="s">
        <v>639</v>
      </c>
      <c r="B127" s="284" t="str">
        <f>t9yobgsal</f>
        <v>#REF!</v>
      </c>
    </row>
    <row r="128" ht="12.75" customHeight="1">
      <c r="A128" s="69" t="s">
        <v>640</v>
      </c>
      <c r="B128" s="284" t="str">
        <f>t9yobgserv</f>
        <v>#REF!</v>
      </c>
    </row>
    <row r="129" ht="12.75" customHeight="1">
      <c r="A129" s="69" t="s">
        <v>641</v>
      </c>
      <c r="B129" s="284" t="str">
        <f>t9yobgprof</f>
        <v>#REF!</v>
      </c>
    </row>
    <row r="130" ht="12.75" customHeight="1">
      <c r="A130" s="69" t="s">
        <v>642</v>
      </c>
      <c r="B130" s="284" t="str">
        <f>t9yobgcbo</f>
        <v>#REF!</v>
      </c>
    </row>
    <row r="131" ht="12.75" customHeight="1">
      <c r="A131" s="69" t="s">
        <v>643</v>
      </c>
      <c r="B131" s="284" t="str">
        <f>t9yobgequip</f>
        <v>#REF!</v>
      </c>
    </row>
    <row r="132" ht="12.75" customHeight="1">
      <c r="A132" s="69" t="s">
        <v>644</v>
      </c>
      <c r="B132" s="284" t="str">
        <f>t9yobgadmin</f>
        <v>#REF!</v>
      </c>
    </row>
    <row r="133" ht="12.75" customHeight="1">
      <c r="A133" s="69" t="s">
        <v>645</v>
      </c>
      <c r="B133" s="284" t="str">
        <f>t9yobgothr1</f>
        <v>#REF!</v>
      </c>
    </row>
    <row r="134" ht="12.75" customHeight="1">
      <c r="A134" s="69" t="s">
        <v>646</v>
      </c>
      <c r="B134" s="284" t="str">
        <f>t9yobgothr2</f>
        <v>#REF!</v>
      </c>
    </row>
    <row r="135" ht="12.75" customHeight="1">
      <c r="A135" s="69" t="s">
        <v>647</v>
      </c>
      <c r="B135" s="284" t="str">
        <f>t9yobgothr3</f>
        <v>#REF!</v>
      </c>
    </row>
    <row r="136" ht="12.75" customHeight="1">
      <c r="A136" s="69" t="s">
        <v>648</v>
      </c>
      <c r="B136" s="284" t="str">
        <f>t9yobgtot</f>
        <v>#REF!</v>
      </c>
    </row>
    <row r="137" ht="12.75" customHeight="1">
      <c r="A137" s="69" t="s">
        <v>649</v>
      </c>
      <c r="B137" s="284" t="str">
        <f>t9jjcpasal</f>
        <v>#REF!</v>
      </c>
    </row>
    <row r="138" ht="12.75" customHeight="1">
      <c r="A138" s="69" t="s">
        <v>650</v>
      </c>
      <c r="B138" s="284" t="str">
        <f>t9jjcpaserv</f>
        <v>#REF!</v>
      </c>
    </row>
    <row r="139" ht="12.75" customHeight="1">
      <c r="A139" s="69" t="s">
        <v>651</v>
      </c>
      <c r="B139" s="284" t="str">
        <f>t9jjcpaprof</f>
        <v>#REF!</v>
      </c>
    </row>
    <row r="140" ht="12.75" customHeight="1">
      <c r="A140" s="69" t="s">
        <v>652</v>
      </c>
      <c r="B140" s="284" t="str">
        <f>t9jjcpacbo</f>
        <v>#REF!</v>
      </c>
    </row>
    <row r="141" ht="12.75" customHeight="1">
      <c r="A141" s="69" t="s">
        <v>653</v>
      </c>
      <c r="B141" s="284" t="str">
        <f>t9jjcpaequip</f>
        <v>#REF!</v>
      </c>
    </row>
    <row r="142" ht="12.75" customHeight="1">
      <c r="A142" s="69" t="s">
        <v>654</v>
      </c>
      <c r="B142" s="284" t="str">
        <f>t9jjcpaadmin</f>
        <v>#REF!</v>
      </c>
    </row>
    <row r="143" ht="12.75" customHeight="1">
      <c r="A143" s="69" t="s">
        <v>655</v>
      </c>
      <c r="B143" s="284" t="str">
        <f>t9jjcpaothr1</f>
        <v>#REF!</v>
      </c>
    </row>
    <row r="144" ht="12.75" customHeight="1">
      <c r="A144" s="69" t="s">
        <v>656</v>
      </c>
      <c r="B144" s="284" t="str">
        <f>t9jjcpaothr2</f>
        <v>#REF!</v>
      </c>
    </row>
    <row r="145" ht="12.75" customHeight="1">
      <c r="A145" s="69" t="s">
        <v>657</v>
      </c>
      <c r="B145" s="284" t="str">
        <f>t9jjcpaothr3</f>
        <v>#REF!</v>
      </c>
    </row>
    <row r="146" ht="12.75" customHeight="1">
      <c r="A146" s="69" t="s">
        <v>658</v>
      </c>
      <c r="B146" s="284" t="str">
        <f>t9jjcpatot</f>
        <v>#REF!</v>
      </c>
    </row>
    <row r="147" ht="12.75" customHeight="1">
      <c r="A147" s="69" t="s">
        <v>659</v>
      </c>
      <c r="B147" s="284" t="str">
        <f>t9othersal</f>
        <v>#REF!</v>
      </c>
    </row>
    <row r="148" ht="12.75" customHeight="1">
      <c r="A148" s="69" t="s">
        <v>660</v>
      </c>
      <c r="B148" s="284" t="str">
        <f>t9otherserv</f>
        <v>#REF!</v>
      </c>
    </row>
    <row r="149" ht="12.75" customHeight="1">
      <c r="A149" s="69" t="s">
        <v>661</v>
      </c>
      <c r="B149" s="284" t="str">
        <f>t9otherprof</f>
        <v>#REF!</v>
      </c>
    </row>
    <row r="150" ht="12.75" customHeight="1">
      <c r="A150" s="69" t="s">
        <v>662</v>
      </c>
      <c r="B150" s="284" t="str">
        <f>t9othercbo</f>
        <v>#REF!</v>
      </c>
    </row>
    <row r="151" ht="12.75" customHeight="1">
      <c r="A151" s="69" t="s">
        <v>663</v>
      </c>
      <c r="B151" s="284" t="str">
        <f>t9otherequip</f>
        <v>#REF!</v>
      </c>
    </row>
    <row r="152" ht="12.75" customHeight="1">
      <c r="A152" s="69" t="s">
        <v>664</v>
      </c>
      <c r="B152" s="284" t="str">
        <f>t9otheradmin</f>
        <v>#REF!</v>
      </c>
    </row>
    <row r="153" ht="12.75" customHeight="1">
      <c r="A153" s="69" t="s">
        <v>665</v>
      </c>
      <c r="B153" s="284" t="str">
        <f>t9otherothr1</f>
        <v>#REF!</v>
      </c>
    </row>
    <row r="154" ht="12.75" customHeight="1">
      <c r="A154" s="69" t="s">
        <v>666</v>
      </c>
      <c r="B154" s="284" t="str">
        <f>t9otherothr2</f>
        <v>#REF!</v>
      </c>
    </row>
    <row r="155" ht="12.75" customHeight="1">
      <c r="A155" s="69" t="s">
        <v>667</v>
      </c>
      <c r="B155" s="284" t="str">
        <f>t9otherothr3</f>
        <v>#REF!</v>
      </c>
    </row>
    <row r="156" ht="12.75" customHeight="1">
      <c r="A156" s="69" t="s">
        <v>668</v>
      </c>
      <c r="B156" s="284" t="str">
        <f>t9othertot</f>
        <v>#REF!</v>
      </c>
    </row>
    <row r="157" ht="12.75" customHeight="1">
      <c r="A157" s="69" t="s">
        <v>669</v>
      </c>
      <c r="B157" s="281" t="str">
        <f>t9casecount</f>
        <v>#REF!</v>
      </c>
    </row>
    <row r="158" ht="12.75" customHeight="1">
      <c r="A158" s="69" t="s">
        <v>670</v>
      </c>
      <c r="B158" s="285" t="str">
        <f>t9yobgpercap</f>
        <v>#REF!</v>
      </c>
    </row>
    <row r="159" ht="12.75" customHeight="1">
      <c r="A159" s="69" t="s">
        <v>671</v>
      </c>
      <c r="B159" s="285" t="str">
        <f>t9totpercap</f>
        <v>#REF!</v>
      </c>
    </row>
    <row r="160" ht="12.75" customHeight="1">
      <c r="A160" s="69" t="s">
        <v>672</v>
      </c>
      <c r="B160" s="281" t="str">
        <f>t9youth1</f>
        <v>#REF!</v>
      </c>
    </row>
    <row r="161" ht="12.75" customHeight="1">
      <c r="A161" s="69" t="s">
        <v>673</v>
      </c>
      <c r="B161" s="281" t="str">
        <f>t9youth2</f>
        <v>#REF!</v>
      </c>
    </row>
    <row r="162" ht="12.75" customHeight="1">
      <c r="A162" s="69" t="s">
        <v>674</v>
      </c>
      <c r="B162" s="281" t="str">
        <f>t9youth3</f>
        <v>#REF!</v>
      </c>
    </row>
    <row r="163" ht="12.75" customHeight="1">
      <c r="A163" s="69" t="s">
        <v>675</v>
      </c>
      <c r="B163" s="281" t="str">
        <f>t9youth4</f>
        <v>#REF!</v>
      </c>
    </row>
    <row r="164" ht="12.75" customHeight="1">
      <c r="A164" s="69" t="s">
        <v>676</v>
      </c>
      <c r="B164" s="281" t="str">
        <f>t9youth5</f>
        <v>#REF!</v>
      </c>
    </row>
    <row r="165" ht="12.75" customHeight="1">
      <c r="A165" s="69" t="s">
        <v>677</v>
      </c>
      <c r="B165" s="281" t="str">
        <f>t9youth6</f>
        <v>#REF!</v>
      </c>
    </row>
    <row r="166" ht="12.75" customHeight="1">
      <c r="A166" s="69" t="s">
        <v>678</v>
      </c>
      <c r="B166" s="69" t="str">
        <f>Numecodet10</f>
        <v>#REF!</v>
      </c>
    </row>
    <row r="167" ht="12.75" customHeight="1">
      <c r="A167" s="69" t="s">
        <v>679</v>
      </c>
      <c r="B167" s="69" t="str">
        <f>Numealtt10</f>
        <v>#REF!</v>
      </c>
    </row>
    <row r="168" ht="12.75" customHeight="1">
      <c r="A168" s="69" t="s">
        <v>680</v>
      </c>
      <c r="B168" s="284" t="str">
        <f>t10yobgsal</f>
        <v>#REF!</v>
      </c>
    </row>
    <row r="169" ht="12.75" customHeight="1">
      <c r="A169" s="69" t="s">
        <v>681</v>
      </c>
      <c r="B169" s="284" t="str">
        <f>t10yobgserv</f>
        <v>#REF!</v>
      </c>
    </row>
    <row r="170" ht="12.75" customHeight="1">
      <c r="A170" s="69" t="s">
        <v>682</v>
      </c>
      <c r="B170" s="284" t="str">
        <f>t10yobgprof</f>
        <v>#REF!</v>
      </c>
    </row>
    <row r="171" ht="12.75" customHeight="1">
      <c r="A171" s="69" t="s">
        <v>683</v>
      </c>
      <c r="B171" s="284" t="str">
        <f>t10yobgcbo</f>
        <v>#REF!</v>
      </c>
    </row>
    <row r="172" ht="12.75" customHeight="1">
      <c r="A172" s="69" t="s">
        <v>684</v>
      </c>
      <c r="B172" s="284" t="str">
        <f>t10yobgequip</f>
        <v>#REF!</v>
      </c>
    </row>
    <row r="173" ht="12.75" customHeight="1">
      <c r="A173" s="69" t="s">
        <v>685</v>
      </c>
      <c r="B173" s="284" t="str">
        <f>t10yobgadmin</f>
        <v>#REF!</v>
      </c>
    </row>
    <row r="174" ht="12.75" customHeight="1">
      <c r="A174" s="69" t="s">
        <v>686</v>
      </c>
      <c r="B174" s="284" t="str">
        <f>t10yobgothr1</f>
        <v>#REF!</v>
      </c>
    </row>
    <row r="175" ht="12.75" customHeight="1">
      <c r="A175" s="69" t="s">
        <v>687</v>
      </c>
      <c r="B175" s="284" t="str">
        <f>t10yobgothr2</f>
        <v>#REF!</v>
      </c>
    </row>
    <row r="176" ht="12.75" customHeight="1">
      <c r="A176" s="69" t="s">
        <v>688</v>
      </c>
      <c r="B176" s="284" t="str">
        <f>t10yobgothr3</f>
        <v>#REF!</v>
      </c>
    </row>
    <row r="177" ht="12.75" customHeight="1">
      <c r="A177" s="69" t="s">
        <v>689</v>
      </c>
      <c r="B177" s="284" t="str">
        <f>t10yobgtot</f>
        <v>#REF!</v>
      </c>
    </row>
    <row r="178" ht="12.75" customHeight="1">
      <c r="A178" s="69" t="s">
        <v>690</v>
      </c>
      <c r="B178" s="284" t="str">
        <f>t10jjcpasal</f>
        <v>#REF!</v>
      </c>
    </row>
    <row r="179" ht="12.75" customHeight="1">
      <c r="A179" s="69" t="s">
        <v>691</v>
      </c>
      <c r="B179" s="284" t="str">
        <f>t10jjcpaserv</f>
        <v>#REF!</v>
      </c>
    </row>
    <row r="180" ht="12.75" customHeight="1">
      <c r="A180" s="69" t="s">
        <v>692</v>
      </c>
      <c r="B180" s="284" t="str">
        <f>t10jjcpaprof</f>
        <v>#REF!</v>
      </c>
    </row>
    <row r="181" ht="12.75" customHeight="1">
      <c r="A181" s="69" t="s">
        <v>693</v>
      </c>
      <c r="B181" s="284" t="str">
        <f>t10jjcpacbo</f>
        <v>#REF!</v>
      </c>
    </row>
    <row r="182" ht="12.75" customHeight="1">
      <c r="A182" s="69" t="s">
        <v>694</v>
      </c>
      <c r="B182" s="284" t="str">
        <f>t10jjcpaequip</f>
        <v>#REF!</v>
      </c>
    </row>
    <row r="183" ht="12.75" customHeight="1">
      <c r="A183" s="69" t="s">
        <v>695</v>
      </c>
      <c r="B183" s="284" t="str">
        <f>t10jjcpaadmin</f>
        <v>#REF!</v>
      </c>
    </row>
    <row r="184" ht="12.75" customHeight="1">
      <c r="A184" s="69" t="s">
        <v>696</v>
      </c>
      <c r="B184" s="284" t="str">
        <f>t10jjcpaothr1</f>
        <v>#REF!</v>
      </c>
    </row>
    <row r="185" ht="12.75" customHeight="1">
      <c r="A185" s="69" t="s">
        <v>697</v>
      </c>
      <c r="B185" s="284" t="str">
        <f>t10jjcpaothr2</f>
        <v>#REF!</v>
      </c>
    </row>
    <row r="186" ht="12.75" customHeight="1">
      <c r="A186" s="69" t="s">
        <v>698</v>
      </c>
      <c r="B186" s="284" t="str">
        <f>t10jjcpaothr3</f>
        <v>#REF!</v>
      </c>
    </row>
    <row r="187" ht="12.75" customHeight="1">
      <c r="A187" s="69" t="s">
        <v>699</v>
      </c>
      <c r="B187" s="284" t="str">
        <f>t10jjcpatot</f>
        <v>#REF!</v>
      </c>
    </row>
    <row r="188" ht="12.75" customHeight="1">
      <c r="A188" s="69" t="s">
        <v>700</v>
      </c>
      <c r="B188" s="284" t="str">
        <f>t10othersal</f>
        <v>#REF!</v>
      </c>
    </row>
    <row r="189" ht="12.75" customHeight="1">
      <c r="A189" s="69" t="s">
        <v>701</v>
      </c>
      <c r="B189" s="284" t="str">
        <f>t10otherserv</f>
        <v>#REF!</v>
      </c>
    </row>
    <row r="190" ht="12.75" customHeight="1">
      <c r="A190" s="69" t="s">
        <v>702</v>
      </c>
      <c r="B190" s="284" t="str">
        <f>t10otherprof</f>
        <v>#REF!</v>
      </c>
    </row>
    <row r="191" ht="12.75" customHeight="1">
      <c r="A191" s="69" t="s">
        <v>703</v>
      </c>
      <c r="B191" s="284" t="str">
        <f>t10othercbo</f>
        <v>#REF!</v>
      </c>
    </row>
    <row r="192" ht="12.75" customHeight="1">
      <c r="A192" s="69" t="s">
        <v>704</v>
      </c>
      <c r="B192" s="284" t="str">
        <f>t10otherequip</f>
        <v>#REF!</v>
      </c>
    </row>
    <row r="193" ht="12.75" customHeight="1">
      <c r="A193" s="69" t="s">
        <v>705</v>
      </c>
      <c r="B193" s="284" t="str">
        <f>t10otheradmin</f>
        <v>#REF!</v>
      </c>
    </row>
    <row r="194" ht="12.75" customHeight="1">
      <c r="A194" s="69" t="s">
        <v>706</v>
      </c>
      <c r="B194" s="284" t="str">
        <f>t10otherothr1</f>
        <v>#REF!</v>
      </c>
    </row>
    <row r="195" ht="12.75" customHeight="1">
      <c r="A195" s="69" t="s">
        <v>707</v>
      </c>
      <c r="B195" s="284" t="str">
        <f>t10otherothr2</f>
        <v>#REF!</v>
      </c>
    </row>
    <row r="196" ht="12.75" customHeight="1">
      <c r="A196" s="69" t="s">
        <v>708</v>
      </c>
      <c r="B196" s="284" t="str">
        <f>t10otherothr3</f>
        <v>#REF!</v>
      </c>
    </row>
    <row r="197" ht="12.75" customHeight="1">
      <c r="A197" s="69" t="s">
        <v>709</v>
      </c>
      <c r="B197" s="284" t="str">
        <f>t10othertot</f>
        <v>#REF!</v>
      </c>
    </row>
    <row r="198" ht="12.75" customHeight="1">
      <c r="A198" s="69" t="s">
        <v>710</v>
      </c>
      <c r="B198" s="281" t="str">
        <f>t10casecount</f>
        <v>#REF!</v>
      </c>
    </row>
    <row r="199" ht="12.75" customHeight="1">
      <c r="A199" s="69" t="s">
        <v>711</v>
      </c>
      <c r="B199" s="285" t="str">
        <f>t10yobgpercap</f>
        <v>#REF!</v>
      </c>
    </row>
    <row r="200" ht="12.75" customHeight="1">
      <c r="A200" s="69" t="s">
        <v>712</v>
      </c>
      <c r="B200" s="285" t="str">
        <f>t10totpercap</f>
        <v>#REF!</v>
      </c>
    </row>
    <row r="201" ht="12.75" customHeight="1">
      <c r="A201" s="69" t="s">
        <v>713</v>
      </c>
      <c r="B201" s="281" t="str">
        <f>t10youth1</f>
        <v>#REF!</v>
      </c>
    </row>
    <row r="202" ht="12.75" customHeight="1">
      <c r="A202" s="69" t="s">
        <v>714</v>
      </c>
      <c r="B202" s="281" t="str">
        <f>t10youth2</f>
        <v>#REF!</v>
      </c>
    </row>
    <row r="203" ht="12.75" customHeight="1">
      <c r="A203" s="69" t="s">
        <v>715</v>
      </c>
      <c r="B203" s="281" t="str">
        <f>t10youth3</f>
        <v>#REF!</v>
      </c>
    </row>
    <row r="204" ht="12.75" customHeight="1">
      <c r="A204" s="69" t="s">
        <v>716</v>
      </c>
      <c r="B204" s="281" t="str">
        <f>t10youth4</f>
        <v>#REF!</v>
      </c>
    </row>
    <row r="205" ht="12.75" customHeight="1">
      <c r="A205" s="69" t="s">
        <v>717</v>
      </c>
      <c r="B205" s="281" t="str">
        <f>t10youth5</f>
        <v>#REF!</v>
      </c>
    </row>
    <row r="206" ht="12.75" customHeight="1">
      <c r="A206" s="69" t="s">
        <v>718</v>
      </c>
      <c r="B206" s="281" t="str">
        <f>t10youth6</f>
        <v>#REF!</v>
      </c>
    </row>
    <row r="207" ht="12.75" customHeight="1">
      <c r="A207" s="69" t="s">
        <v>719</v>
      </c>
      <c r="B207" s="281" t="str">
        <f>asi</f>
        <v/>
      </c>
    </row>
    <row r="208" ht="12.75" customHeight="1">
      <c r="A208" s="69" t="s">
        <v>253</v>
      </c>
      <c r="B208" s="281" t="str">
        <f>bot</f>
        <v/>
      </c>
    </row>
    <row r="209" ht="12.75" customHeight="1">
      <c r="A209" s="69" t="s">
        <v>720</v>
      </c>
      <c r="B209" s="281" t="str">
        <f>COMPAS</f>
        <v/>
      </c>
    </row>
    <row r="210" ht="12.75" customHeight="1">
      <c r="A210" s="69" t="s">
        <v>721</v>
      </c>
      <c r="B210" s="281" t="str">
        <f>JAIS</f>
        <v/>
      </c>
    </row>
    <row r="211" ht="12.75" customHeight="1">
      <c r="A211" s="69" t="s">
        <v>722</v>
      </c>
      <c r="B211" s="281" t="str">
        <f>LSIR</f>
        <v/>
      </c>
    </row>
    <row r="212" ht="12.75" customHeight="1">
      <c r="A212" s="69" t="s">
        <v>723</v>
      </c>
      <c r="B212" s="281" t="str">
        <f>MAYSI2</f>
        <v/>
      </c>
    </row>
    <row r="213" ht="12.75" customHeight="1">
      <c r="A213" s="69" t="s">
        <v>724</v>
      </c>
      <c r="B213" s="281" t="str">
        <f>MAYSI</f>
        <v/>
      </c>
    </row>
    <row r="214" ht="12.75" customHeight="1">
      <c r="A214" s="69" t="s">
        <v>725</v>
      </c>
      <c r="B214" s="281" t="str">
        <f>NIC</f>
        <v/>
      </c>
    </row>
    <row r="215" ht="12.75" customHeight="1">
      <c r="A215" s="69" t="s">
        <v>726</v>
      </c>
      <c r="B215" s="281" t="str">
        <f>PACT</f>
        <v/>
      </c>
    </row>
    <row r="216" ht="12.75" customHeight="1">
      <c r="A216" s="69" t="s">
        <v>727</v>
      </c>
      <c r="B216" s="281" t="str">
        <f>RRC</f>
        <v/>
      </c>
    </row>
    <row r="217" ht="12.75" customHeight="1">
      <c r="A217" s="69" t="s">
        <v>728</v>
      </c>
      <c r="B217" s="281" t="str">
        <f>YLSCMI</f>
        <v/>
      </c>
    </row>
    <row r="218" ht="12.75" customHeight="1">
      <c r="A218" s="69" t="s">
        <v>729</v>
      </c>
      <c r="B218" s="281" t="str">
        <f>othrassessmentname1</f>
        <v/>
      </c>
    </row>
    <row r="219" ht="12.75" customHeight="1">
      <c r="A219" s="69" t="s">
        <v>730</v>
      </c>
      <c r="B219" s="281" t="str">
        <f>othrassess1</f>
        <v/>
      </c>
    </row>
    <row r="220" ht="12.75" customHeight="1">
      <c r="A220" s="69" t="s">
        <v>731</v>
      </c>
      <c r="B220" s="281" t="str">
        <f>othrassessmentname2</f>
        <v/>
      </c>
    </row>
    <row r="221" ht="12.75" customHeight="1">
      <c r="A221" s="69" t="s">
        <v>732</v>
      </c>
      <c r="B221" s="281" t="str">
        <f>othrassess2</f>
        <v/>
      </c>
    </row>
    <row r="222" ht="12.75" customHeight="1">
      <c r="A222" s="69" t="s">
        <v>733</v>
      </c>
      <c r="B222" s="281" t="str">
        <f>othrassessmentname3</f>
        <v/>
      </c>
    </row>
    <row r="223" ht="12.75" customHeight="1">
      <c r="A223" s="69" t="s">
        <v>734</v>
      </c>
      <c r="B223" s="281" t="str">
        <f>othrassess3</f>
        <v/>
      </c>
    </row>
    <row r="224" ht="12.75" customHeight="1">
      <c r="A224" s="69" t="s">
        <v>735</v>
      </c>
      <c r="B224" s="281" t="str">
        <f>othrassessmentname4</f>
        <v/>
      </c>
    </row>
    <row r="225" ht="12.75" customHeight="1">
      <c r="A225" s="69" t="s">
        <v>736</v>
      </c>
      <c r="B225" s="281" t="str">
        <f>othrassess4</f>
        <v/>
      </c>
    </row>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88"/>
    <col customWidth="1" min="2" max="2" width="41.5"/>
    <col customWidth="1" min="3" max="26" width="8.88"/>
  </cols>
  <sheetData>
    <row r="1" ht="12.75" customHeight="1">
      <c r="A1" s="69" t="s">
        <v>289</v>
      </c>
      <c r="B1" s="28" t="str">
        <f>County</f>
        <v>Amador</v>
      </c>
    </row>
    <row r="2" ht="12.75" customHeight="1">
      <c r="A2" s="69" t="s">
        <v>737</v>
      </c>
      <c r="B2" s="281" t="str">
        <f>coord1</f>
        <v/>
      </c>
    </row>
    <row r="3" ht="12.75" customHeight="1">
      <c r="A3" s="69" t="s">
        <v>738</v>
      </c>
      <c r="B3" s="281" t="str">
        <f>coord2</f>
        <v/>
      </c>
    </row>
    <row r="4" ht="12.75" customHeight="1">
      <c r="A4" s="69" t="s">
        <v>739</v>
      </c>
      <c r="B4" s="281" t="str">
        <f>strategy</f>
        <v/>
      </c>
    </row>
    <row r="5" ht="12.75" customHeight="1">
      <c r="A5" s="69" t="s">
        <v>740</v>
      </c>
      <c r="B5" s="281" t="str">
        <f>stratnar</f>
        <v/>
      </c>
    </row>
    <row r="6" ht="12.75" customHeight="1">
      <c r="A6" s="69" t="s">
        <v>741</v>
      </c>
      <c r="B6" s="281" t="str">
        <f>stratdf</f>
        <v/>
      </c>
    </row>
    <row r="7" ht="12.75" customHeight="1">
      <c r="A7" s="69" t="s">
        <v>742</v>
      </c>
      <c r="B7" s="281" t="str">
        <f>stratplan</f>
        <v/>
      </c>
    </row>
    <row r="8" ht="12.75" customHeight="1">
      <c r="A8" s="69" t="s">
        <v>743</v>
      </c>
      <c r="B8" s="281" t="str">
        <f>coordnar</f>
        <v/>
      </c>
    </row>
    <row r="9" ht="12.75" customHeight="1">
      <c r="A9" s="69" t="s">
        <v>744</v>
      </c>
      <c r="B9" s="69" t="str">
        <f>regional</f>
        <v/>
      </c>
    </row>
    <row r="10" ht="12.75" customHeight="1">
      <c r="A10" s="69" t="s">
        <v>309</v>
      </c>
      <c r="B10" s="69" t="str">
        <f>Numecodet1</f>
        <v>#REF!</v>
      </c>
    </row>
    <row r="11" ht="12.75" customHeight="1">
      <c r="A11" s="69" t="s">
        <v>310</v>
      </c>
      <c r="B11" s="69" t="str">
        <f>Numealtt1</f>
        <v>#REF!</v>
      </c>
    </row>
    <row r="12" ht="12.75" customHeight="1">
      <c r="A12" s="69" t="s">
        <v>745</v>
      </c>
      <c r="B12" s="69" t="str">
        <f>JJCPAt1</f>
        <v>#REF!</v>
      </c>
    </row>
    <row r="13" ht="12.75" customHeight="1">
      <c r="A13" s="69" t="s">
        <v>746</v>
      </c>
      <c r="B13" s="69" t="str">
        <f>Othert1</f>
        <v>#REF!</v>
      </c>
    </row>
    <row r="14" ht="12.75" customHeight="1">
      <c r="A14" s="69" t="s">
        <v>341</v>
      </c>
      <c r="B14" s="281" t="str">
        <f>t1casecount</f>
        <v>#REF!</v>
      </c>
    </row>
    <row r="15" ht="12.75" customHeight="1">
      <c r="A15" s="69" t="s">
        <v>342</v>
      </c>
      <c r="B15" s="285" t="str">
        <f>t1yobgpercap</f>
        <v>#REF!</v>
      </c>
    </row>
    <row r="16" ht="12.75" customHeight="1">
      <c r="A16" s="69" t="s">
        <v>343</v>
      </c>
      <c r="B16" s="285" t="str">
        <f>t1totpercap</f>
        <v>#REF!</v>
      </c>
    </row>
    <row r="17" ht="12.75" customHeight="1">
      <c r="A17" s="69" t="s">
        <v>747</v>
      </c>
      <c r="B17" s="69" t="str">
        <f>t1nar</f>
        <v>#REF!</v>
      </c>
    </row>
    <row r="18" ht="12.75" customHeight="1">
      <c r="A18" s="69" t="s">
        <v>748</v>
      </c>
      <c r="B18" s="69" t="str">
        <f>t1goal</f>
        <v>#REF!</v>
      </c>
    </row>
    <row r="19" ht="12.75" customHeight="1">
      <c r="A19" s="69" t="s">
        <v>749</v>
      </c>
      <c r="B19" s="69" t="str">
        <f>t1barrier</f>
        <v>#REF!</v>
      </c>
    </row>
    <row r="20" ht="12.75" customHeight="1">
      <c r="A20" s="69" t="s">
        <v>750</v>
      </c>
      <c r="B20" s="69" t="str">
        <f>t1funds</f>
        <v>#REF!</v>
      </c>
    </row>
    <row r="21" ht="12.75" customHeight="1">
      <c r="A21" s="69" t="s">
        <v>751</v>
      </c>
      <c r="B21" s="69" t="str">
        <f>t1other1</f>
        <v/>
      </c>
    </row>
    <row r="22" ht="12.75" customHeight="1">
      <c r="A22" s="69" t="s">
        <v>752</v>
      </c>
      <c r="B22" s="69" t="str">
        <f>t1other2</f>
        <v/>
      </c>
    </row>
    <row r="23" ht="12.75" customHeight="1">
      <c r="A23" s="69" t="s">
        <v>753</v>
      </c>
      <c r="B23" s="69" t="str">
        <f>t1other3</f>
        <v/>
      </c>
    </row>
    <row r="24" ht="12.75" customHeight="1">
      <c r="A24" s="69" t="s">
        <v>350</v>
      </c>
      <c r="B24" s="69" t="str">
        <f>Numecodet2</f>
        <v>#REF!</v>
      </c>
    </row>
    <row r="25" ht="12.75" customHeight="1">
      <c r="A25" s="69" t="s">
        <v>351</v>
      </c>
      <c r="B25" s="69" t="str">
        <f>Numealtt2</f>
        <v>#REF!</v>
      </c>
    </row>
    <row r="26" ht="12.75" customHeight="1">
      <c r="A26" s="69" t="s">
        <v>754</v>
      </c>
      <c r="B26" s="69" t="str">
        <f>JJCPAt2</f>
        <v>#REF!</v>
      </c>
    </row>
    <row r="27" ht="12.75" customHeight="1">
      <c r="A27" s="69" t="s">
        <v>755</v>
      </c>
      <c r="B27" s="69" t="str">
        <f>Othert2</f>
        <v>#REF!</v>
      </c>
    </row>
    <row r="28" ht="12.75" customHeight="1">
      <c r="A28" s="69" t="s">
        <v>382</v>
      </c>
      <c r="B28" s="281" t="str">
        <f>t2casecount</f>
        <v>#REF!</v>
      </c>
    </row>
    <row r="29" ht="12.75" customHeight="1">
      <c r="A29" s="69" t="s">
        <v>383</v>
      </c>
      <c r="B29" s="285" t="str">
        <f>t2yobgpercap</f>
        <v>#REF!</v>
      </c>
    </row>
    <row r="30" ht="12.75" customHeight="1">
      <c r="A30" s="69" t="s">
        <v>384</v>
      </c>
      <c r="B30" s="285" t="str">
        <f>t2totpercap</f>
        <v>#REF!</v>
      </c>
    </row>
    <row r="31" ht="12.75" customHeight="1">
      <c r="A31" s="69" t="s">
        <v>756</v>
      </c>
      <c r="B31" s="69" t="str">
        <f>t2nar</f>
        <v>#REF!</v>
      </c>
    </row>
    <row r="32" ht="12.75" customHeight="1">
      <c r="A32" s="69" t="s">
        <v>757</v>
      </c>
      <c r="B32" s="69" t="str">
        <f>t2goal</f>
        <v>#REF!</v>
      </c>
    </row>
    <row r="33" ht="12.75" customHeight="1">
      <c r="A33" s="69" t="s">
        <v>758</v>
      </c>
      <c r="B33" s="69" t="str">
        <f>t2barrier</f>
        <v>#REF!</v>
      </c>
    </row>
    <row r="34" ht="12.75" customHeight="1">
      <c r="A34" s="69" t="s">
        <v>759</v>
      </c>
      <c r="B34" s="69" t="str">
        <f>t2funds</f>
        <v>#REF!</v>
      </c>
    </row>
    <row r="35" ht="12.75" customHeight="1">
      <c r="A35" s="69" t="s">
        <v>760</v>
      </c>
      <c r="B35" s="69" t="str">
        <f>t2other1</f>
        <v>#REF!</v>
      </c>
    </row>
    <row r="36" ht="12.75" customHeight="1">
      <c r="A36" s="69" t="s">
        <v>761</v>
      </c>
      <c r="B36" s="69" t="str">
        <f>t2other2</f>
        <v>#REF!</v>
      </c>
    </row>
    <row r="37" ht="12.75" customHeight="1">
      <c r="A37" s="69" t="s">
        <v>762</v>
      </c>
      <c r="B37" s="69" t="str">
        <f>t2other3</f>
        <v>#REF!</v>
      </c>
    </row>
    <row r="38" ht="12.75" customHeight="1">
      <c r="A38" s="69" t="s">
        <v>391</v>
      </c>
      <c r="B38" s="69" t="str">
        <f>Numecodet3</f>
        <v>#REF!</v>
      </c>
    </row>
    <row r="39" ht="12.75" customHeight="1">
      <c r="A39" s="69" t="s">
        <v>392</v>
      </c>
      <c r="B39" s="69" t="str">
        <f>Numealtt3</f>
        <v>#REF!</v>
      </c>
    </row>
    <row r="40" ht="12.75" customHeight="1">
      <c r="A40" s="69" t="s">
        <v>763</v>
      </c>
      <c r="B40" s="69" t="str">
        <f>JJCPAt3</f>
        <v>#REF!</v>
      </c>
    </row>
    <row r="41" ht="12.75" customHeight="1">
      <c r="A41" s="69" t="s">
        <v>764</v>
      </c>
      <c r="B41" s="69" t="str">
        <f>Othert3</f>
        <v>#REF!</v>
      </c>
    </row>
    <row r="42" ht="12.75" customHeight="1">
      <c r="A42" s="69" t="s">
        <v>423</v>
      </c>
      <c r="B42" s="281" t="str">
        <f>t3casecount</f>
        <v>#REF!</v>
      </c>
    </row>
    <row r="43" ht="12.75" customHeight="1">
      <c r="A43" s="69" t="s">
        <v>424</v>
      </c>
      <c r="B43" s="285" t="str">
        <f>t3yobgpercap</f>
        <v>#REF!</v>
      </c>
    </row>
    <row r="44" ht="12.75" customHeight="1">
      <c r="A44" s="69" t="s">
        <v>425</v>
      </c>
      <c r="B44" s="285" t="str">
        <f>t3totpercap</f>
        <v>#REF!</v>
      </c>
    </row>
    <row r="45" ht="12.75" customHeight="1">
      <c r="A45" s="69" t="s">
        <v>765</v>
      </c>
      <c r="B45" s="69" t="str">
        <f>t3nar</f>
        <v>#REF!</v>
      </c>
    </row>
    <row r="46" ht="12.75" customHeight="1">
      <c r="A46" s="69" t="s">
        <v>766</v>
      </c>
      <c r="B46" s="69" t="str">
        <f>t3goal</f>
        <v>#REF!</v>
      </c>
    </row>
    <row r="47" ht="12.75" customHeight="1">
      <c r="A47" s="69" t="s">
        <v>767</v>
      </c>
      <c r="B47" s="69" t="str">
        <f>t3barrier</f>
        <v>#REF!</v>
      </c>
    </row>
    <row r="48" ht="12.75" customHeight="1">
      <c r="A48" s="69" t="s">
        <v>768</v>
      </c>
      <c r="B48" s="69" t="str">
        <f>t3funds</f>
        <v>#REF!</v>
      </c>
    </row>
    <row r="49" ht="12.75" customHeight="1">
      <c r="A49" s="69" t="s">
        <v>769</v>
      </c>
      <c r="B49" s="69" t="str">
        <f>t3other1</f>
        <v>#REF!</v>
      </c>
    </row>
    <row r="50" ht="12.75" customHeight="1">
      <c r="A50" s="69" t="s">
        <v>770</v>
      </c>
      <c r="B50" s="69" t="str">
        <f>t3other2</f>
        <v>#REF!</v>
      </c>
    </row>
    <row r="51" ht="12.75" customHeight="1">
      <c r="A51" s="69" t="s">
        <v>771</v>
      </c>
      <c r="B51" s="69" t="str">
        <f>t3other3</f>
        <v>#REF!</v>
      </c>
    </row>
    <row r="52" ht="12.75" customHeight="1">
      <c r="A52" s="69" t="s">
        <v>432</v>
      </c>
      <c r="B52" s="69" t="str">
        <f>Numecodet4</f>
        <v>#REF!</v>
      </c>
    </row>
    <row r="53" ht="12.75" customHeight="1">
      <c r="A53" s="69" t="s">
        <v>433</v>
      </c>
      <c r="B53" s="69" t="str">
        <f>Numealtt4</f>
        <v>#REF!</v>
      </c>
    </row>
    <row r="54" ht="12.75" customHeight="1">
      <c r="A54" s="69" t="s">
        <v>772</v>
      </c>
      <c r="B54" s="69" t="str">
        <f>JJCPAt4</f>
        <v>#REF!</v>
      </c>
    </row>
    <row r="55" ht="12.75" customHeight="1">
      <c r="A55" s="69" t="s">
        <v>773</v>
      </c>
      <c r="B55" s="69" t="str">
        <f>Othert4</f>
        <v>#REF!</v>
      </c>
    </row>
    <row r="56" ht="12.75" customHeight="1">
      <c r="A56" s="69" t="s">
        <v>464</v>
      </c>
      <c r="B56" s="281" t="str">
        <f>t4casecount</f>
        <v>#REF!</v>
      </c>
    </row>
    <row r="57" ht="12.75" customHeight="1">
      <c r="A57" s="69" t="s">
        <v>465</v>
      </c>
      <c r="B57" s="285" t="str">
        <f>t4yobgpercap</f>
        <v>#REF!</v>
      </c>
    </row>
    <row r="58" ht="12.75" customHeight="1">
      <c r="A58" s="69" t="s">
        <v>466</v>
      </c>
      <c r="B58" s="285" t="str">
        <f>t4totpercap</f>
        <v>#REF!</v>
      </c>
    </row>
    <row r="59" ht="12.75" customHeight="1">
      <c r="A59" s="69" t="s">
        <v>774</v>
      </c>
      <c r="B59" s="69" t="str">
        <f>t4nar</f>
        <v>#REF!</v>
      </c>
    </row>
    <row r="60" ht="12.75" customHeight="1">
      <c r="A60" s="69" t="s">
        <v>775</v>
      </c>
      <c r="B60" s="69" t="str">
        <f>t4goal</f>
        <v>#REF!</v>
      </c>
    </row>
    <row r="61" ht="12.75" customHeight="1">
      <c r="A61" s="69" t="s">
        <v>776</v>
      </c>
      <c r="B61" s="69" t="str">
        <f>t4barrier</f>
        <v>#REF!</v>
      </c>
    </row>
    <row r="62" ht="12.75" customHeight="1">
      <c r="A62" s="69" t="s">
        <v>777</v>
      </c>
      <c r="B62" s="69" t="str">
        <f>t4funds</f>
        <v>#REF!</v>
      </c>
    </row>
    <row r="63" ht="12.75" customHeight="1">
      <c r="A63" s="69" t="s">
        <v>778</v>
      </c>
      <c r="B63" s="69" t="str">
        <f>t4other1</f>
        <v>#REF!</v>
      </c>
    </row>
    <row r="64" ht="12.75" customHeight="1">
      <c r="A64" s="69" t="s">
        <v>779</v>
      </c>
      <c r="B64" s="69" t="str">
        <f>t4other2</f>
        <v>#REF!</v>
      </c>
    </row>
    <row r="65" ht="12.75" customHeight="1">
      <c r="A65" s="69" t="s">
        <v>780</v>
      </c>
      <c r="B65" s="69" t="str">
        <f>t4other3</f>
        <v>#REF!</v>
      </c>
    </row>
    <row r="66" ht="12.75" customHeight="1">
      <c r="A66" s="69" t="s">
        <v>473</v>
      </c>
      <c r="B66" s="69" t="str">
        <f>Numecodet5</f>
        <v>#REF!</v>
      </c>
    </row>
    <row r="67" ht="12.75" customHeight="1">
      <c r="A67" s="69" t="s">
        <v>474</v>
      </c>
      <c r="B67" s="69" t="str">
        <f>Numealtt5</f>
        <v>#REF!</v>
      </c>
    </row>
    <row r="68" ht="12.75" customHeight="1">
      <c r="A68" s="69" t="s">
        <v>781</v>
      </c>
      <c r="B68" s="69" t="str">
        <f>JJCPAt5</f>
        <v>#REF!</v>
      </c>
    </row>
    <row r="69" ht="12.75" customHeight="1">
      <c r="A69" s="69" t="s">
        <v>782</v>
      </c>
      <c r="B69" s="69" t="str">
        <f>Othert5</f>
        <v>#REF!</v>
      </c>
    </row>
    <row r="70" ht="12.75" customHeight="1">
      <c r="A70" s="69" t="s">
        <v>505</v>
      </c>
      <c r="B70" s="281" t="str">
        <f>t5casecount</f>
        <v>#REF!</v>
      </c>
    </row>
    <row r="71" ht="12.75" customHeight="1">
      <c r="A71" s="69" t="s">
        <v>506</v>
      </c>
      <c r="B71" s="285" t="str">
        <f>t5yobgpercap</f>
        <v>#REF!</v>
      </c>
    </row>
    <row r="72" ht="12.75" customHeight="1">
      <c r="A72" s="69" t="s">
        <v>507</v>
      </c>
      <c r="B72" s="285" t="str">
        <f>t5totpercap</f>
        <v>#REF!</v>
      </c>
    </row>
    <row r="73" ht="12.75" customHeight="1">
      <c r="A73" s="69" t="s">
        <v>783</v>
      </c>
      <c r="B73" s="69" t="str">
        <f>t5nar</f>
        <v>#REF!</v>
      </c>
    </row>
    <row r="74" ht="12.75" customHeight="1">
      <c r="A74" s="69" t="s">
        <v>784</v>
      </c>
      <c r="B74" s="69" t="str">
        <f>t5goal</f>
        <v>#REF!</v>
      </c>
    </row>
    <row r="75" ht="12.75" customHeight="1">
      <c r="A75" s="69" t="s">
        <v>785</v>
      </c>
      <c r="B75" s="69" t="str">
        <f>t5barrier</f>
        <v>#REF!</v>
      </c>
    </row>
    <row r="76" ht="12.75" customHeight="1">
      <c r="A76" s="69" t="s">
        <v>786</v>
      </c>
      <c r="B76" s="69" t="str">
        <f>t5funds</f>
        <v>#REF!</v>
      </c>
    </row>
    <row r="77" ht="12.75" customHeight="1">
      <c r="A77" s="69" t="s">
        <v>787</v>
      </c>
      <c r="B77" s="69" t="str">
        <f>t5other1</f>
        <v>#REF!</v>
      </c>
    </row>
    <row r="78" ht="12.75" customHeight="1">
      <c r="A78" s="69" t="s">
        <v>788</v>
      </c>
      <c r="B78" s="69" t="str">
        <f>t5other2</f>
        <v>#REF!</v>
      </c>
    </row>
    <row r="79" ht="12.75" customHeight="1">
      <c r="A79" s="69" t="s">
        <v>789</v>
      </c>
      <c r="B79" s="69" t="str">
        <f>t5other3</f>
        <v>#REF!</v>
      </c>
    </row>
    <row r="80" ht="12.75" customHeight="1">
      <c r="A80" s="69" t="s">
        <v>514</v>
      </c>
      <c r="B80" s="69" t="str">
        <f>Numecodet6</f>
        <v>#REF!</v>
      </c>
    </row>
    <row r="81" ht="12.75" customHeight="1">
      <c r="A81" s="69" t="s">
        <v>515</v>
      </c>
      <c r="B81" s="69" t="str">
        <f>Numealtt6</f>
        <v>#REF!</v>
      </c>
    </row>
    <row r="82" ht="12.75" customHeight="1">
      <c r="A82" s="69" t="s">
        <v>790</v>
      </c>
      <c r="B82" s="69" t="str">
        <f>JJCPAt6</f>
        <v>#REF!</v>
      </c>
    </row>
    <row r="83" ht="12.75" customHeight="1">
      <c r="A83" s="69" t="s">
        <v>791</v>
      </c>
      <c r="B83" s="69" t="str">
        <f>Othert6</f>
        <v>#REF!</v>
      </c>
    </row>
    <row r="84" ht="12.75" customHeight="1">
      <c r="A84" s="69" t="s">
        <v>546</v>
      </c>
      <c r="B84" s="281" t="str">
        <f>t6casecount</f>
        <v>#REF!</v>
      </c>
    </row>
    <row r="85" ht="12.75" customHeight="1">
      <c r="A85" s="69" t="s">
        <v>547</v>
      </c>
      <c r="B85" s="285" t="str">
        <f>t6yobgpercap</f>
        <v>#REF!</v>
      </c>
    </row>
    <row r="86" ht="12.75" customHeight="1">
      <c r="A86" s="69" t="s">
        <v>548</v>
      </c>
      <c r="B86" s="285" t="str">
        <f>t6totpercap</f>
        <v>#REF!</v>
      </c>
    </row>
    <row r="87" ht="12.75" customHeight="1">
      <c r="A87" s="69" t="s">
        <v>792</v>
      </c>
      <c r="B87" s="69" t="str">
        <f>t6nar</f>
        <v>#REF!</v>
      </c>
    </row>
    <row r="88" ht="12.75" customHeight="1">
      <c r="A88" s="69" t="s">
        <v>793</v>
      </c>
      <c r="B88" s="69" t="str">
        <f>t6goal</f>
        <v>#REF!</v>
      </c>
    </row>
    <row r="89" ht="12.75" customHeight="1">
      <c r="A89" s="69" t="s">
        <v>794</v>
      </c>
      <c r="B89" s="69" t="str">
        <f>t6barrier</f>
        <v>#REF!</v>
      </c>
    </row>
    <row r="90" ht="12.75" customHeight="1">
      <c r="A90" s="69" t="s">
        <v>795</v>
      </c>
      <c r="B90" s="69" t="str">
        <f>t6funds</f>
        <v>#REF!</v>
      </c>
    </row>
    <row r="91" ht="12.75" customHeight="1">
      <c r="A91" s="69" t="s">
        <v>796</v>
      </c>
      <c r="B91" s="69" t="str">
        <f>t6other1</f>
        <v>#REF!</v>
      </c>
    </row>
    <row r="92" ht="12.75" customHeight="1">
      <c r="A92" s="69" t="s">
        <v>797</v>
      </c>
      <c r="B92" s="69" t="str">
        <f>t6other2</f>
        <v>#REF!</v>
      </c>
    </row>
    <row r="93" ht="12.75" customHeight="1">
      <c r="A93" s="69" t="s">
        <v>798</v>
      </c>
      <c r="B93" s="69" t="str">
        <f>t6other3</f>
        <v>#REF!</v>
      </c>
    </row>
    <row r="94" ht="12.75" customHeight="1">
      <c r="A94" s="69" t="s">
        <v>555</v>
      </c>
      <c r="B94" s="69" t="str">
        <f>Numecodet7</f>
        <v>#REF!</v>
      </c>
    </row>
    <row r="95" ht="12.75" customHeight="1">
      <c r="A95" s="69" t="s">
        <v>556</v>
      </c>
      <c r="B95" s="69" t="str">
        <f>Numealtt7</f>
        <v>#REF!</v>
      </c>
    </row>
    <row r="96" ht="12.75" customHeight="1">
      <c r="A96" s="69" t="s">
        <v>799</v>
      </c>
      <c r="B96" s="69" t="str">
        <f>JJCPAt7</f>
        <v>#REF!</v>
      </c>
    </row>
    <row r="97" ht="12.75" customHeight="1">
      <c r="A97" s="69" t="s">
        <v>800</v>
      </c>
      <c r="B97" s="69" t="str">
        <f>Othert7</f>
        <v>#REF!</v>
      </c>
    </row>
    <row r="98" ht="12.75" customHeight="1">
      <c r="A98" s="69" t="s">
        <v>587</v>
      </c>
      <c r="B98" s="281" t="str">
        <f>t7casecount</f>
        <v>#REF!</v>
      </c>
    </row>
    <row r="99" ht="12.75" customHeight="1">
      <c r="A99" s="69" t="s">
        <v>588</v>
      </c>
      <c r="B99" s="285" t="str">
        <f>t7yobgpercap</f>
        <v>#REF!</v>
      </c>
    </row>
    <row r="100" ht="12.75" customHeight="1">
      <c r="A100" s="69" t="s">
        <v>589</v>
      </c>
      <c r="B100" s="285" t="str">
        <f>t7totpercap</f>
        <v>#REF!</v>
      </c>
    </row>
    <row r="101" ht="12.75" customHeight="1">
      <c r="A101" s="69" t="s">
        <v>801</v>
      </c>
      <c r="B101" s="69" t="str">
        <f>t7nar</f>
        <v>#REF!</v>
      </c>
    </row>
    <row r="102" ht="12.75" customHeight="1">
      <c r="A102" s="69" t="s">
        <v>802</v>
      </c>
      <c r="B102" s="69" t="str">
        <f>t7goal</f>
        <v>#REF!</v>
      </c>
    </row>
    <row r="103" ht="12.75" customHeight="1">
      <c r="A103" s="69" t="s">
        <v>803</v>
      </c>
      <c r="B103" s="69" t="str">
        <f>t7barrier</f>
        <v>#REF!</v>
      </c>
    </row>
    <row r="104" ht="12.75" customHeight="1">
      <c r="A104" s="69" t="s">
        <v>804</v>
      </c>
      <c r="B104" s="69" t="str">
        <f>t7funds</f>
        <v>#REF!</v>
      </c>
    </row>
    <row r="105" ht="12.75" customHeight="1">
      <c r="A105" s="69" t="s">
        <v>805</v>
      </c>
      <c r="B105" s="69" t="str">
        <f>t7other1</f>
        <v>#REF!</v>
      </c>
    </row>
    <row r="106" ht="12.75" customHeight="1">
      <c r="A106" s="69" t="s">
        <v>806</v>
      </c>
      <c r="B106" s="69" t="str">
        <f>t7other2</f>
        <v>#REF!</v>
      </c>
    </row>
    <row r="107" ht="12.75" customHeight="1">
      <c r="A107" s="69" t="s">
        <v>807</v>
      </c>
      <c r="B107" s="69" t="str">
        <f>t7other3</f>
        <v>#REF!</v>
      </c>
    </row>
    <row r="108" ht="12.75" customHeight="1">
      <c r="A108" s="69" t="s">
        <v>596</v>
      </c>
      <c r="B108" s="69" t="str">
        <f>Numecodet8</f>
        <v>#REF!</v>
      </c>
    </row>
    <row r="109" ht="12.75" customHeight="1">
      <c r="A109" s="69" t="s">
        <v>597</v>
      </c>
      <c r="B109" s="69" t="str">
        <f>Numealtt8</f>
        <v>#REF!</v>
      </c>
    </row>
    <row r="110" ht="12.75" customHeight="1">
      <c r="A110" s="69" t="s">
        <v>808</v>
      </c>
      <c r="B110" s="69" t="str">
        <f>JJCPAt8</f>
        <v>#REF!</v>
      </c>
    </row>
    <row r="111" ht="12.75" customHeight="1">
      <c r="A111" s="69" t="s">
        <v>809</v>
      </c>
      <c r="B111" s="69" t="str">
        <f>Othert8</f>
        <v>#REF!</v>
      </c>
    </row>
    <row r="112" ht="12.75" customHeight="1">
      <c r="A112" s="69" t="s">
        <v>628</v>
      </c>
      <c r="B112" s="281" t="str">
        <f>t8casecount</f>
        <v>#REF!</v>
      </c>
    </row>
    <row r="113" ht="12.75" customHeight="1">
      <c r="A113" s="69" t="s">
        <v>629</v>
      </c>
      <c r="B113" s="285" t="str">
        <f>t8yobgpercap</f>
        <v>#REF!</v>
      </c>
    </row>
    <row r="114" ht="12.75" customHeight="1">
      <c r="A114" s="69" t="s">
        <v>630</v>
      </c>
      <c r="B114" s="285" t="str">
        <f>t8totpercap</f>
        <v>#REF!</v>
      </c>
    </row>
    <row r="115" ht="12.75" customHeight="1">
      <c r="A115" s="69" t="s">
        <v>810</v>
      </c>
      <c r="B115" s="69" t="str">
        <f>t8nar</f>
        <v>#REF!</v>
      </c>
    </row>
    <row r="116" ht="12.75" customHeight="1">
      <c r="A116" s="69" t="s">
        <v>811</v>
      </c>
      <c r="B116" s="69" t="str">
        <f>t8goal</f>
        <v>#REF!</v>
      </c>
    </row>
    <row r="117" ht="12.75" customHeight="1">
      <c r="A117" s="69" t="s">
        <v>812</v>
      </c>
      <c r="B117" s="69" t="str">
        <f>t8barrier</f>
        <v>#REF!</v>
      </c>
    </row>
    <row r="118" ht="12.75" customHeight="1">
      <c r="A118" s="69" t="s">
        <v>813</v>
      </c>
      <c r="B118" s="69" t="str">
        <f>t8funds</f>
        <v>#REF!</v>
      </c>
    </row>
    <row r="119" ht="12.75" customHeight="1">
      <c r="A119" s="69" t="s">
        <v>814</v>
      </c>
      <c r="B119" s="69" t="str">
        <f>t8other1</f>
        <v>#REF!</v>
      </c>
    </row>
    <row r="120" ht="12.75" customHeight="1">
      <c r="A120" s="69" t="s">
        <v>815</v>
      </c>
      <c r="B120" s="69" t="str">
        <f>t8other2</f>
        <v>#REF!</v>
      </c>
    </row>
    <row r="121" ht="12.75" customHeight="1">
      <c r="A121" s="69" t="s">
        <v>816</v>
      </c>
      <c r="B121" s="69" t="str">
        <f>t8other3</f>
        <v>#REF!</v>
      </c>
    </row>
    <row r="122" ht="12.75" customHeight="1">
      <c r="A122" s="69" t="s">
        <v>637</v>
      </c>
      <c r="B122" s="69" t="str">
        <f>Numecodet9</f>
        <v>#REF!</v>
      </c>
    </row>
    <row r="123" ht="12.75" customHeight="1">
      <c r="A123" s="69" t="s">
        <v>638</v>
      </c>
      <c r="B123" s="69" t="str">
        <f>Numealtt9</f>
        <v>#REF!</v>
      </c>
    </row>
    <row r="124" ht="12.75" customHeight="1">
      <c r="A124" s="69" t="s">
        <v>817</v>
      </c>
      <c r="B124" s="69" t="str">
        <f>JJCPAt9</f>
        <v>#REF!</v>
      </c>
    </row>
    <row r="125" ht="12.75" customHeight="1">
      <c r="A125" s="69" t="s">
        <v>818</v>
      </c>
      <c r="B125" s="69" t="str">
        <f>Othert9</f>
        <v>#REF!</v>
      </c>
    </row>
    <row r="126" ht="12.75" customHeight="1">
      <c r="A126" s="69" t="s">
        <v>669</v>
      </c>
      <c r="B126" s="281" t="str">
        <f>t9casecount</f>
        <v>#REF!</v>
      </c>
    </row>
    <row r="127" ht="12.75" customHeight="1">
      <c r="A127" s="69" t="s">
        <v>670</v>
      </c>
      <c r="B127" s="285" t="str">
        <f>t9yobgpercap</f>
        <v>#REF!</v>
      </c>
    </row>
    <row r="128" ht="12.75" customHeight="1">
      <c r="A128" s="69" t="s">
        <v>671</v>
      </c>
      <c r="B128" s="285" t="str">
        <f>t9totpercap</f>
        <v>#REF!</v>
      </c>
    </row>
    <row r="129" ht="12.75" customHeight="1">
      <c r="A129" s="69" t="s">
        <v>819</v>
      </c>
      <c r="B129" s="69" t="str">
        <f>t9nar</f>
        <v>#REF!</v>
      </c>
    </row>
    <row r="130" ht="12.75" customHeight="1">
      <c r="A130" s="69" t="s">
        <v>820</v>
      </c>
      <c r="B130" s="69" t="str">
        <f>t9goal</f>
        <v>#REF!</v>
      </c>
    </row>
    <row r="131" ht="12.75" customHeight="1">
      <c r="A131" s="69" t="s">
        <v>821</v>
      </c>
      <c r="B131" s="69" t="str">
        <f>t9barrier</f>
        <v>#REF!</v>
      </c>
    </row>
    <row r="132" ht="12.75" customHeight="1">
      <c r="A132" s="69" t="s">
        <v>822</v>
      </c>
      <c r="B132" s="69" t="str">
        <f>t9funds</f>
        <v>#REF!</v>
      </c>
    </row>
    <row r="133" ht="12.75" customHeight="1">
      <c r="A133" s="69" t="s">
        <v>823</v>
      </c>
      <c r="B133" s="69" t="str">
        <f>t9other1</f>
        <v>#REF!</v>
      </c>
    </row>
    <row r="134" ht="12.75" customHeight="1">
      <c r="A134" s="69" t="s">
        <v>824</v>
      </c>
      <c r="B134" s="69" t="str">
        <f>t9other2</f>
        <v>#REF!</v>
      </c>
    </row>
    <row r="135" ht="12.75" customHeight="1">
      <c r="A135" s="69" t="s">
        <v>825</v>
      </c>
      <c r="B135" s="69" t="str">
        <f>t9other3</f>
        <v>#REF!</v>
      </c>
    </row>
    <row r="136" ht="12.75" customHeight="1">
      <c r="A136" s="69" t="s">
        <v>678</v>
      </c>
      <c r="B136" s="69" t="str">
        <f>Numecodet10</f>
        <v>#REF!</v>
      </c>
    </row>
    <row r="137" ht="12.75" customHeight="1">
      <c r="A137" s="69" t="s">
        <v>679</v>
      </c>
      <c r="B137" s="69" t="str">
        <f>Numealtt10</f>
        <v>#REF!</v>
      </c>
    </row>
    <row r="138" ht="12.75" customHeight="1">
      <c r="A138" s="69" t="s">
        <v>826</v>
      </c>
      <c r="B138" s="69" t="str">
        <f>JJCPAt10</f>
        <v>#REF!</v>
      </c>
    </row>
    <row r="139" ht="12.75" customHeight="1">
      <c r="A139" s="69" t="s">
        <v>827</v>
      </c>
      <c r="B139" s="69" t="str">
        <f>Othert10</f>
        <v>#REF!</v>
      </c>
    </row>
    <row r="140" ht="12.75" customHeight="1">
      <c r="A140" s="69" t="s">
        <v>710</v>
      </c>
      <c r="B140" s="281" t="str">
        <f>t10casecount</f>
        <v>#REF!</v>
      </c>
    </row>
    <row r="141" ht="12.75" customHeight="1">
      <c r="A141" s="69" t="s">
        <v>711</v>
      </c>
      <c r="B141" s="285" t="str">
        <f>t10yobgpercap</f>
        <v>#REF!</v>
      </c>
    </row>
    <row r="142" ht="12.75" customHeight="1">
      <c r="A142" s="69" t="s">
        <v>712</v>
      </c>
      <c r="B142" s="285" t="str">
        <f>t10totpercap</f>
        <v>#REF!</v>
      </c>
    </row>
    <row r="143" ht="12.75" customHeight="1">
      <c r="A143" s="69" t="s">
        <v>828</v>
      </c>
      <c r="B143" s="69" t="str">
        <f>t10nar</f>
        <v>#REF!</v>
      </c>
    </row>
    <row r="144" ht="12.75" customHeight="1">
      <c r="A144" s="69" t="s">
        <v>829</v>
      </c>
      <c r="B144" s="69" t="str">
        <f>t10goal</f>
        <v>#REF!</v>
      </c>
    </row>
    <row r="145" ht="12.75" customHeight="1">
      <c r="A145" s="69" t="s">
        <v>830</v>
      </c>
      <c r="B145" s="69" t="str">
        <f>t10barrier</f>
        <v>#REF!</v>
      </c>
    </row>
    <row r="146" ht="12.75" customHeight="1">
      <c r="A146" s="69" t="s">
        <v>831</v>
      </c>
      <c r="B146" s="69" t="str">
        <f>t10funds</f>
        <v>#REF!</v>
      </c>
    </row>
    <row r="147" ht="12.75" customHeight="1">
      <c r="A147" s="69" t="s">
        <v>832</v>
      </c>
      <c r="B147" s="69" t="str">
        <f>t10other1</f>
        <v>#REF!</v>
      </c>
    </row>
    <row r="148" ht="12.75" customHeight="1">
      <c r="A148" s="69" t="s">
        <v>833</v>
      </c>
      <c r="B148" s="69" t="str">
        <f>t10other2</f>
        <v>#REF!</v>
      </c>
    </row>
    <row r="149" ht="12.75" customHeight="1">
      <c r="A149" s="69" t="s">
        <v>834</v>
      </c>
      <c r="B149" s="69" t="str">
        <f>t10other3</f>
        <v>#REF!</v>
      </c>
    </row>
    <row r="150" ht="12.75" customHeight="1">
      <c r="A150" s="69" t="s">
        <v>835</v>
      </c>
      <c r="B150" s="284" t="str">
        <f>totyobgexp</f>
        <v>#REF!</v>
      </c>
    </row>
    <row r="151" ht="12.75" customHeight="1">
      <c r="A151" s="69" t="s">
        <v>836</v>
      </c>
      <c r="B151" s="284" t="str">
        <f>fy1314all</f>
        <v>#REF!</v>
      </c>
    </row>
    <row r="152" ht="12.75" customHeight="1">
      <c r="A152" s="69" t="s">
        <v>837</v>
      </c>
      <c r="B152" s="284" t="str">
        <f>fy1213all</f>
        <v>#REF!</v>
      </c>
    </row>
    <row r="153" ht="12.75" customHeight="1">
      <c r="A153" s="69" t="s">
        <v>838</v>
      </c>
      <c r="B153" s="284" t="str">
        <f>fy1112all</f>
        <v>#REF!</v>
      </c>
    </row>
    <row r="154" ht="12.75" customHeight="1">
      <c r="A154" s="69" t="s">
        <v>839</v>
      </c>
      <c r="B154" s="284" t="str">
        <f>fy1011all</f>
        <v>#REF!</v>
      </c>
    </row>
    <row r="155" ht="12.75" customHeight="1">
      <c r="A155" s="69" t="s">
        <v>840</v>
      </c>
      <c r="B155" s="284" t="str">
        <f>fy0910all</f>
        <v>#REF!</v>
      </c>
    </row>
    <row r="156" ht="12.75" customHeight="1">
      <c r="A156" s="69" t="s">
        <v>841</v>
      </c>
      <c r="B156" s="284" t="str">
        <f>fy0809all</f>
        <v>#REF!</v>
      </c>
    </row>
    <row r="157" ht="12.75" customHeight="1">
      <c r="A157" s="69" t="s">
        <v>842</v>
      </c>
      <c r="B157" s="284" t="str">
        <f>fy0708all</f>
        <v>#REF!</v>
      </c>
    </row>
    <row r="158" ht="12.75" customHeight="1">
      <c r="A158" s="69" t="s">
        <v>843</v>
      </c>
      <c r="B158" s="284" t="str">
        <f>totforall</f>
        <v>#REF!</v>
      </c>
    </row>
    <row r="159" ht="12.75" customHeight="1">
      <c r="A159" s="69" t="s">
        <v>844</v>
      </c>
      <c r="B159" s="284" t="str">
        <f>discrep</f>
        <v>#REF!</v>
      </c>
    </row>
    <row r="160" ht="12.75" customHeight="1">
      <c r="A160" s="69" t="s">
        <v>845</v>
      </c>
      <c r="B160" s="69" t="str">
        <f>discexpl</f>
        <v>#REF!</v>
      </c>
    </row>
    <row r="161" ht="12.75" customHeight="1">
      <c r="A161" s="69" t="s">
        <v>846</v>
      </c>
      <c r="B161" s="69" t="str">
        <f>Numecodet1</f>
        <v>#REF!</v>
      </c>
    </row>
    <row r="162" ht="12.75" customHeight="1">
      <c r="A162" s="69" t="s">
        <v>847</v>
      </c>
      <c r="B162" s="69" t="str">
        <f>JJCPAt1</f>
        <v>#REF!</v>
      </c>
    </row>
    <row r="163" ht="12.75" customHeight="1">
      <c r="A163" s="69" t="s">
        <v>848</v>
      </c>
      <c r="B163" s="284">
        <f>t1jjcpatot</f>
        <v>0</v>
      </c>
    </row>
    <row r="164" ht="12.75" customHeight="1">
      <c r="A164" s="69" t="s">
        <v>849</v>
      </c>
      <c r="B164" s="69" t="str">
        <f>Othert1</f>
        <v>#REF!</v>
      </c>
    </row>
    <row r="165" ht="12.75" customHeight="1">
      <c r="A165" s="69" t="s">
        <v>850</v>
      </c>
      <c r="B165" s="284">
        <f>t1othertot</f>
        <v>0</v>
      </c>
    </row>
    <row r="166" ht="12.75" customHeight="1">
      <c r="A166" s="69" t="s">
        <v>851</v>
      </c>
      <c r="B166" s="69" t="str">
        <f>Numecodet2</f>
        <v>#REF!</v>
      </c>
    </row>
    <row r="167" ht="12.75" customHeight="1">
      <c r="A167" s="69" t="s">
        <v>852</v>
      </c>
      <c r="B167" s="69" t="str">
        <f>JJCPAt2</f>
        <v>#REF!</v>
      </c>
    </row>
    <row r="168" ht="12.75" customHeight="1">
      <c r="A168" s="69" t="s">
        <v>853</v>
      </c>
      <c r="B168" s="284" t="str">
        <f>t2jjcpatot</f>
        <v>#REF!</v>
      </c>
    </row>
    <row r="169" ht="12.75" customHeight="1">
      <c r="A169" s="69" t="s">
        <v>854</v>
      </c>
      <c r="B169" s="69" t="str">
        <f>Othert2</f>
        <v>#REF!</v>
      </c>
    </row>
    <row r="170" ht="12.75" customHeight="1">
      <c r="A170" s="69" t="s">
        <v>855</v>
      </c>
      <c r="B170" s="284" t="str">
        <f>t2othertot</f>
        <v>#REF!</v>
      </c>
    </row>
    <row r="171" ht="12.75" customHeight="1">
      <c r="A171" s="69" t="s">
        <v>856</v>
      </c>
      <c r="B171" s="69" t="str">
        <f>Numecodet3</f>
        <v>#REF!</v>
      </c>
    </row>
    <row r="172" ht="12.75" customHeight="1">
      <c r="A172" s="69" t="s">
        <v>857</v>
      </c>
      <c r="B172" s="69" t="str">
        <f>JJCPAt3</f>
        <v>#REF!</v>
      </c>
    </row>
    <row r="173" ht="12.75" customHeight="1">
      <c r="A173" s="69" t="s">
        <v>858</v>
      </c>
      <c r="B173" s="284" t="str">
        <f>t3jjcpatot</f>
        <v>#REF!</v>
      </c>
    </row>
    <row r="174" ht="12.75" customHeight="1">
      <c r="A174" s="69" t="s">
        <v>859</v>
      </c>
      <c r="B174" s="69" t="str">
        <f>Othert3</f>
        <v>#REF!</v>
      </c>
    </row>
    <row r="175" ht="12.75" customHeight="1">
      <c r="A175" s="69" t="s">
        <v>860</v>
      </c>
      <c r="B175" s="284" t="str">
        <f>t3othertot</f>
        <v>#REF!</v>
      </c>
    </row>
    <row r="176" ht="12.75" customHeight="1">
      <c r="A176" s="69" t="s">
        <v>861</v>
      </c>
      <c r="B176" s="69" t="str">
        <f>Numecodet4</f>
        <v>#REF!</v>
      </c>
    </row>
    <row r="177" ht="12.75" customHeight="1">
      <c r="A177" s="69" t="s">
        <v>862</v>
      </c>
      <c r="B177" s="69" t="str">
        <f>JJCPAt4</f>
        <v>#REF!</v>
      </c>
    </row>
    <row r="178" ht="12.75" customHeight="1">
      <c r="A178" s="69" t="s">
        <v>863</v>
      </c>
      <c r="B178" s="284" t="str">
        <f>t4jjcpatot</f>
        <v>#REF!</v>
      </c>
    </row>
    <row r="179" ht="12.75" customHeight="1">
      <c r="A179" s="69" t="s">
        <v>864</v>
      </c>
      <c r="B179" s="69" t="str">
        <f>Othert4</f>
        <v>#REF!</v>
      </c>
    </row>
    <row r="180" ht="12.75" customHeight="1">
      <c r="A180" s="69" t="s">
        <v>865</v>
      </c>
      <c r="B180" s="284" t="str">
        <f>t4othertot</f>
        <v>#REF!</v>
      </c>
    </row>
    <row r="181" ht="12.75" customHeight="1">
      <c r="A181" s="69" t="s">
        <v>866</v>
      </c>
      <c r="B181" s="69" t="str">
        <f>Numecodet5</f>
        <v>#REF!</v>
      </c>
    </row>
    <row r="182" ht="12.75" customHeight="1">
      <c r="A182" s="69" t="s">
        <v>867</v>
      </c>
      <c r="B182" s="69" t="str">
        <f>JJCPAt5</f>
        <v>#REF!</v>
      </c>
    </row>
    <row r="183" ht="12.75" customHeight="1">
      <c r="A183" s="69" t="s">
        <v>868</v>
      </c>
      <c r="B183" s="284" t="str">
        <f>t5jjcpatot</f>
        <v>#REF!</v>
      </c>
    </row>
    <row r="184" ht="12.75" customHeight="1">
      <c r="A184" s="69" t="s">
        <v>869</v>
      </c>
      <c r="B184" s="69" t="str">
        <f>Othert5</f>
        <v>#REF!</v>
      </c>
    </row>
    <row r="185" ht="12.75" customHeight="1">
      <c r="A185" s="69" t="s">
        <v>870</v>
      </c>
      <c r="B185" s="284" t="str">
        <f>t5othertot</f>
        <v>#REF!</v>
      </c>
    </row>
    <row r="186" ht="12.75" customHeight="1">
      <c r="A186" s="69" t="s">
        <v>871</v>
      </c>
      <c r="B186" s="69" t="str">
        <f>Numecodet6</f>
        <v>#REF!</v>
      </c>
    </row>
    <row r="187" ht="12.75" customHeight="1">
      <c r="A187" s="69" t="s">
        <v>872</v>
      </c>
      <c r="B187" s="69" t="str">
        <f>JJCPAt6</f>
        <v>#REF!</v>
      </c>
    </row>
    <row r="188" ht="12.75" customHeight="1">
      <c r="A188" s="69" t="s">
        <v>873</v>
      </c>
      <c r="B188" s="284" t="str">
        <f>t6jjcpatot</f>
        <v>#REF!</v>
      </c>
    </row>
    <row r="189" ht="12.75" customHeight="1">
      <c r="A189" s="69" t="s">
        <v>874</v>
      </c>
      <c r="B189" s="69" t="str">
        <f>Othert6</f>
        <v>#REF!</v>
      </c>
    </row>
    <row r="190" ht="12.75" customHeight="1">
      <c r="A190" s="69" t="s">
        <v>875</v>
      </c>
      <c r="B190" s="284" t="str">
        <f>t6othertot</f>
        <v>#REF!</v>
      </c>
    </row>
    <row r="191" ht="12.75" customHeight="1">
      <c r="A191" s="69" t="s">
        <v>876</v>
      </c>
      <c r="B191" s="69" t="str">
        <f>Numecodet7</f>
        <v>#REF!</v>
      </c>
    </row>
    <row r="192" ht="12.75" customHeight="1">
      <c r="A192" s="69" t="s">
        <v>877</v>
      </c>
      <c r="B192" s="69" t="str">
        <f>JJCPAt7</f>
        <v>#REF!</v>
      </c>
    </row>
    <row r="193" ht="12.75" customHeight="1">
      <c r="A193" s="69" t="s">
        <v>878</v>
      </c>
      <c r="B193" s="284" t="str">
        <f>t7jjcpatot</f>
        <v>#REF!</v>
      </c>
    </row>
    <row r="194" ht="12.75" customHeight="1">
      <c r="A194" s="69" t="s">
        <v>879</v>
      </c>
      <c r="B194" s="69" t="str">
        <f>Othert7</f>
        <v>#REF!</v>
      </c>
    </row>
    <row r="195" ht="12.75" customHeight="1">
      <c r="A195" s="69" t="s">
        <v>880</v>
      </c>
      <c r="B195" s="284" t="str">
        <f>t7othertot</f>
        <v>#REF!</v>
      </c>
    </row>
    <row r="196" ht="12.75" customHeight="1">
      <c r="A196" s="69" t="s">
        <v>881</v>
      </c>
      <c r="B196" s="69" t="str">
        <f>Numecodet8</f>
        <v>#REF!</v>
      </c>
    </row>
    <row r="197" ht="12.75" customHeight="1">
      <c r="A197" s="69" t="s">
        <v>882</v>
      </c>
      <c r="B197" s="69" t="str">
        <f>JJCPAt8</f>
        <v>#REF!</v>
      </c>
    </row>
    <row r="198" ht="12.75" customHeight="1">
      <c r="A198" s="69" t="s">
        <v>883</v>
      </c>
      <c r="B198" s="284" t="str">
        <f>t8jjcpatot</f>
        <v>#REF!</v>
      </c>
    </row>
    <row r="199" ht="12.75" customHeight="1">
      <c r="A199" s="69" t="s">
        <v>884</v>
      </c>
      <c r="B199" s="69" t="str">
        <f>Othert8</f>
        <v>#REF!</v>
      </c>
    </row>
    <row r="200" ht="12.75" customHeight="1">
      <c r="A200" s="69" t="s">
        <v>885</v>
      </c>
      <c r="B200" s="284" t="str">
        <f>t8othertot</f>
        <v>#REF!</v>
      </c>
    </row>
    <row r="201" ht="12.75" customHeight="1">
      <c r="A201" s="69" t="s">
        <v>886</v>
      </c>
      <c r="B201" s="69" t="str">
        <f>Numecodet9</f>
        <v>#REF!</v>
      </c>
    </row>
    <row r="202" ht="12.75" customHeight="1">
      <c r="A202" s="69" t="s">
        <v>887</v>
      </c>
      <c r="B202" s="69" t="str">
        <f>JJCPAt9</f>
        <v>#REF!</v>
      </c>
    </row>
    <row r="203" ht="12.75" customHeight="1">
      <c r="A203" s="69" t="s">
        <v>888</v>
      </c>
      <c r="B203" s="284" t="str">
        <f>t9jjcpatot</f>
        <v>#REF!</v>
      </c>
    </row>
    <row r="204" ht="12.75" customHeight="1">
      <c r="A204" s="69" t="s">
        <v>889</v>
      </c>
      <c r="B204" s="69" t="str">
        <f>Othert9</f>
        <v>#REF!</v>
      </c>
    </row>
    <row r="205" ht="12.75" customHeight="1">
      <c r="A205" s="69" t="s">
        <v>890</v>
      </c>
      <c r="B205" s="284" t="str">
        <f>t9othertot</f>
        <v>#REF!</v>
      </c>
    </row>
    <row r="206" ht="12.75" customHeight="1">
      <c r="A206" s="69" t="s">
        <v>891</v>
      </c>
      <c r="B206" s="69" t="str">
        <f>Numcodet10</f>
        <v>#REF!</v>
      </c>
    </row>
    <row r="207" ht="12.75" customHeight="1">
      <c r="A207" s="69" t="s">
        <v>892</v>
      </c>
      <c r="B207" s="69" t="str">
        <f>JJCPAt10</f>
        <v>#REF!</v>
      </c>
    </row>
    <row r="208" ht="12.75" customHeight="1">
      <c r="A208" s="69" t="s">
        <v>893</v>
      </c>
      <c r="B208" s="284" t="str">
        <f>t10jjcpatot</f>
        <v>#REF!</v>
      </c>
    </row>
    <row r="209" ht="12.75" customHeight="1">
      <c r="A209" s="69" t="s">
        <v>894</v>
      </c>
      <c r="B209" s="69" t="str">
        <f>Othert10</f>
        <v>#REF!</v>
      </c>
    </row>
    <row r="210" ht="12.75" customHeight="1">
      <c r="A210" s="69" t="s">
        <v>895</v>
      </c>
      <c r="B210" s="284" t="str">
        <f>t10othertot</f>
        <v>#REF!</v>
      </c>
    </row>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88"/>
    <col customWidth="1" min="2" max="2" width="34.5"/>
    <col customWidth="1" min="3" max="3" width="8.88"/>
    <col customWidth="1" min="4" max="4" width="12.5"/>
    <col customWidth="1" min="5" max="6" width="8.88"/>
    <col customWidth="1" min="7" max="7" width="27.5"/>
    <col customWidth="1" min="8" max="26" width="8.88"/>
  </cols>
  <sheetData>
    <row r="1" ht="12.75" customHeight="1">
      <c r="A1" s="69">
        <v>1.0</v>
      </c>
      <c r="B1" s="196" t="s">
        <v>87</v>
      </c>
      <c r="C1" s="69">
        <v>1.0</v>
      </c>
      <c r="D1" s="69" t="s">
        <v>896</v>
      </c>
    </row>
    <row r="2" ht="12.75" customHeight="1">
      <c r="A2" s="69">
        <v>2.0</v>
      </c>
      <c r="B2" s="196" t="s">
        <v>89</v>
      </c>
      <c r="C2" s="69">
        <v>2.0</v>
      </c>
      <c r="D2" s="69" t="s">
        <v>897</v>
      </c>
    </row>
    <row r="3" ht="12.75" customHeight="1">
      <c r="A3" s="69">
        <v>3.0</v>
      </c>
      <c r="B3" s="196" t="s">
        <v>91</v>
      </c>
      <c r="D3" s="69" t="s">
        <v>9</v>
      </c>
    </row>
    <row r="4" ht="12.75" customHeight="1">
      <c r="A4" s="69">
        <v>4.0</v>
      </c>
      <c r="B4" s="196" t="s">
        <v>93</v>
      </c>
      <c r="D4" s="69" t="s">
        <v>898</v>
      </c>
    </row>
    <row r="5" ht="12.75" customHeight="1">
      <c r="A5" s="69">
        <v>5.0</v>
      </c>
      <c r="B5" s="196" t="s">
        <v>88</v>
      </c>
      <c r="D5" s="69" t="s">
        <v>899</v>
      </c>
    </row>
    <row r="6" ht="12.75" customHeight="1">
      <c r="A6" s="69">
        <v>6.0</v>
      </c>
      <c r="B6" s="196" t="s">
        <v>90</v>
      </c>
      <c r="D6" s="69" t="s">
        <v>900</v>
      </c>
    </row>
    <row r="7" ht="12.75" customHeight="1">
      <c r="A7" s="69">
        <v>7.0</v>
      </c>
      <c r="B7" s="196" t="s">
        <v>92</v>
      </c>
      <c r="D7" s="69" t="s">
        <v>901</v>
      </c>
    </row>
    <row r="8" ht="12.75" customHeight="1">
      <c r="A8" s="69">
        <v>8.0</v>
      </c>
      <c r="B8" s="196" t="s">
        <v>95</v>
      </c>
      <c r="D8" s="69" t="s">
        <v>902</v>
      </c>
    </row>
    <row r="9" ht="12.75" customHeight="1">
      <c r="A9" s="69">
        <v>9.0</v>
      </c>
      <c r="B9" s="196" t="s">
        <v>98</v>
      </c>
      <c r="D9" s="69" t="s">
        <v>903</v>
      </c>
    </row>
    <row r="10" ht="12.75" customHeight="1">
      <c r="A10" s="69">
        <v>10.0</v>
      </c>
      <c r="B10" s="196" t="s">
        <v>100</v>
      </c>
      <c r="D10" s="69" t="s">
        <v>904</v>
      </c>
    </row>
    <row r="11" ht="12.75" customHeight="1">
      <c r="A11" s="69">
        <v>11.0</v>
      </c>
      <c r="B11" s="196" t="s">
        <v>102</v>
      </c>
      <c r="D11" s="69" t="s">
        <v>905</v>
      </c>
    </row>
    <row r="12" ht="12.75" customHeight="1">
      <c r="A12" s="69">
        <v>12.0</v>
      </c>
      <c r="B12" s="196" t="s">
        <v>104</v>
      </c>
      <c r="D12" s="69" t="s">
        <v>906</v>
      </c>
    </row>
    <row r="13" ht="12.75" customHeight="1">
      <c r="A13" s="69">
        <v>13.0</v>
      </c>
      <c r="B13" s="196" t="s">
        <v>106</v>
      </c>
      <c r="D13" s="69" t="s">
        <v>907</v>
      </c>
    </row>
    <row r="14" ht="12.75" customHeight="1">
      <c r="A14" s="69">
        <v>14.0</v>
      </c>
      <c r="B14" s="196" t="s">
        <v>108</v>
      </c>
      <c r="D14" s="69" t="s">
        <v>908</v>
      </c>
    </row>
    <row r="15" ht="12.75" customHeight="1">
      <c r="A15" s="69">
        <v>15.0</v>
      </c>
      <c r="B15" s="196" t="s">
        <v>110</v>
      </c>
      <c r="D15" s="69" t="s">
        <v>909</v>
      </c>
    </row>
    <row r="16" ht="12.75" customHeight="1">
      <c r="A16" s="69">
        <v>16.0</v>
      </c>
      <c r="B16" s="196" t="s">
        <v>112</v>
      </c>
      <c r="D16" s="69" t="s">
        <v>910</v>
      </c>
    </row>
    <row r="17" ht="12.75" customHeight="1">
      <c r="A17" s="69">
        <v>17.0</v>
      </c>
      <c r="B17" s="196" t="s">
        <v>114</v>
      </c>
      <c r="D17" s="69" t="s">
        <v>911</v>
      </c>
    </row>
    <row r="18" ht="12.75" customHeight="1">
      <c r="A18" s="69">
        <v>18.0</v>
      </c>
      <c r="B18" s="196" t="s">
        <v>116</v>
      </c>
      <c r="D18" s="69" t="s">
        <v>912</v>
      </c>
    </row>
    <row r="19" ht="12.75" customHeight="1">
      <c r="A19" s="69">
        <v>19.0</v>
      </c>
      <c r="B19" s="196" t="s">
        <v>118</v>
      </c>
      <c r="D19" s="69" t="s">
        <v>913</v>
      </c>
    </row>
    <row r="20" ht="12.75" customHeight="1">
      <c r="A20" s="69">
        <v>20.0</v>
      </c>
      <c r="B20" s="196" t="s">
        <v>120</v>
      </c>
      <c r="D20" s="69" t="s">
        <v>914</v>
      </c>
    </row>
    <row r="21" ht="12.75" customHeight="1">
      <c r="A21" s="69">
        <v>21.0</v>
      </c>
      <c r="B21" s="196" t="s">
        <v>122</v>
      </c>
      <c r="D21" s="69" t="s">
        <v>915</v>
      </c>
    </row>
    <row r="22" ht="12.75" customHeight="1">
      <c r="A22" s="69">
        <v>22.0</v>
      </c>
      <c r="B22" s="196" t="s">
        <v>124</v>
      </c>
      <c r="D22" s="69" t="s">
        <v>916</v>
      </c>
    </row>
    <row r="23" ht="12.75" customHeight="1">
      <c r="A23" s="69">
        <v>23.0</v>
      </c>
      <c r="B23" s="196" t="s">
        <v>126</v>
      </c>
      <c r="D23" s="69" t="s">
        <v>917</v>
      </c>
    </row>
    <row r="24" ht="12.75" customHeight="1">
      <c r="A24" s="69">
        <v>24.0</v>
      </c>
      <c r="B24" s="196" t="s">
        <v>128</v>
      </c>
      <c r="D24" s="69" t="s">
        <v>918</v>
      </c>
      <c r="F24" s="27" t="s">
        <v>919</v>
      </c>
      <c r="G24" s="196" t="s">
        <v>920</v>
      </c>
    </row>
    <row r="25" ht="12.75" customHeight="1">
      <c r="A25" s="69">
        <v>25.0</v>
      </c>
      <c r="B25" s="196" t="s">
        <v>130</v>
      </c>
      <c r="D25" s="69" t="s">
        <v>921</v>
      </c>
      <c r="F25" s="27" t="s">
        <v>922</v>
      </c>
      <c r="G25" s="286" t="s">
        <v>923</v>
      </c>
    </row>
    <row r="26" ht="12.75" customHeight="1">
      <c r="A26" s="69">
        <v>26.0</v>
      </c>
      <c r="B26" s="196" t="s">
        <v>246</v>
      </c>
      <c r="D26" s="69" t="s">
        <v>924</v>
      </c>
      <c r="G26" s="286" t="s">
        <v>925</v>
      </c>
    </row>
    <row r="27" ht="12.75" customHeight="1">
      <c r="A27" s="69">
        <v>27.0</v>
      </c>
      <c r="B27" s="196" t="s">
        <v>101</v>
      </c>
      <c r="D27" s="69" t="s">
        <v>926</v>
      </c>
      <c r="G27" s="286" t="s">
        <v>927</v>
      </c>
    </row>
    <row r="28" ht="12.75" customHeight="1">
      <c r="A28" s="69">
        <v>28.0</v>
      </c>
      <c r="B28" s="196" t="s">
        <v>103</v>
      </c>
      <c r="D28" s="69" t="s">
        <v>928</v>
      </c>
      <c r="G28" s="286" t="s">
        <v>929</v>
      </c>
    </row>
    <row r="29" ht="12.75" customHeight="1">
      <c r="A29" s="69">
        <v>29.0</v>
      </c>
      <c r="B29" s="196" t="s">
        <v>105</v>
      </c>
      <c r="D29" s="69" t="s">
        <v>930</v>
      </c>
      <c r="G29" s="286" t="s">
        <v>931</v>
      </c>
    </row>
    <row r="30" ht="12.75" customHeight="1">
      <c r="A30" s="69">
        <v>30.0</v>
      </c>
      <c r="B30" s="196" t="s">
        <v>107</v>
      </c>
      <c r="D30" s="69" t="s">
        <v>932</v>
      </c>
      <c r="G30" s="286" t="s">
        <v>933</v>
      </c>
    </row>
    <row r="31" ht="12.75" customHeight="1">
      <c r="A31" s="69">
        <v>31.0</v>
      </c>
      <c r="B31" s="196" t="s">
        <v>109</v>
      </c>
      <c r="D31" s="69" t="s">
        <v>934</v>
      </c>
      <c r="G31" s="286" t="s">
        <v>935</v>
      </c>
    </row>
    <row r="32" ht="12.75" customHeight="1">
      <c r="A32" s="69">
        <v>32.0</v>
      </c>
      <c r="B32" s="196" t="s">
        <v>111</v>
      </c>
      <c r="D32" s="69" t="s">
        <v>936</v>
      </c>
      <c r="G32" s="286" t="s">
        <v>937</v>
      </c>
    </row>
    <row r="33" ht="12.75" customHeight="1">
      <c r="A33" s="69">
        <v>33.0</v>
      </c>
      <c r="B33" s="196" t="s">
        <v>113</v>
      </c>
      <c r="D33" s="69" t="s">
        <v>938</v>
      </c>
      <c r="G33" s="286" t="s">
        <v>939</v>
      </c>
    </row>
    <row r="34" ht="12.75" customHeight="1">
      <c r="A34" s="69">
        <v>34.0</v>
      </c>
      <c r="B34" s="196" t="s">
        <v>115</v>
      </c>
      <c r="D34" s="69" t="s">
        <v>940</v>
      </c>
      <c r="G34" s="286" t="s">
        <v>941</v>
      </c>
    </row>
    <row r="35" ht="12.75" customHeight="1">
      <c r="A35" s="69">
        <v>35.0</v>
      </c>
      <c r="B35" s="196" t="s">
        <v>117</v>
      </c>
      <c r="D35" s="69" t="s">
        <v>942</v>
      </c>
      <c r="G35" s="286" t="s">
        <v>943</v>
      </c>
    </row>
    <row r="36" ht="12.75" customHeight="1">
      <c r="A36" s="69">
        <v>36.0</v>
      </c>
      <c r="B36" s="196" t="s">
        <v>119</v>
      </c>
      <c r="D36" s="69" t="s">
        <v>944</v>
      </c>
      <c r="G36" s="286" t="s">
        <v>945</v>
      </c>
    </row>
    <row r="37" ht="12.75" customHeight="1">
      <c r="A37" s="69">
        <v>37.0</v>
      </c>
      <c r="B37" s="196" t="s">
        <v>121</v>
      </c>
      <c r="D37" s="69" t="s">
        <v>946</v>
      </c>
      <c r="G37" s="286" t="s">
        <v>947</v>
      </c>
    </row>
    <row r="38" ht="12.75" customHeight="1">
      <c r="A38" s="69">
        <v>38.0</v>
      </c>
      <c r="B38" s="196" t="s">
        <v>123</v>
      </c>
      <c r="D38" s="69" t="s">
        <v>948</v>
      </c>
      <c r="G38" s="286" t="s">
        <v>949</v>
      </c>
    </row>
    <row r="39" ht="12.75" customHeight="1">
      <c r="A39" s="69">
        <v>39.0</v>
      </c>
      <c r="B39" s="196" t="s">
        <v>125</v>
      </c>
      <c r="D39" s="69" t="s">
        <v>950</v>
      </c>
      <c r="G39" s="286" t="s">
        <v>951</v>
      </c>
    </row>
    <row r="40" ht="12.75" customHeight="1">
      <c r="A40" s="69">
        <v>40.0</v>
      </c>
      <c r="B40" s="196" t="s">
        <v>127</v>
      </c>
      <c r="D40" s="69" t="s">
        <v>952</v>
      </c>
      <c r="G40" s="286" t="s">
        <v>953</v>
      </c>
    </row>
    <row r="41" ht="12.75" customHeight="1">
      <c r="A41" s="69">
        <v>41.0</v>
      </c>
      <c r="B41" s="196" t="s">
        <v>129</v>
      </c>
      <c r="D41" s="69" t="s">
        <v>954</v>
      </c>
      <c r="G41" s="286" t="s">
        <v>955</v>
      </c>
    </row>
    <row r="42" ht="12.75" customHeight="1">
      <c r="A42" s="69">
        <v>42.0</v>
      </c>
      <c r="B42" s="196" t="s">
        <v>131</v>
      </c>
      <c r="D42" s="69" t="s">
        <v>956</v>
      </c>
      <c r="G42" s="286" t="s">
        <v>62</v>
      </c>
    </row>
    <row r="43" ht="12.75" customHeight="1">
      <c r="A43" s="69">
        <v>43.0</v>
      </c>
      <c r="B43" s="196" t="s">
        <v>132</v>
      </c>
      <c r="D43" s="69" t="s">
        <v>957</v>
      </c>
    </row>
    <row r="44" ht="12.75" customHeight="1">
      <c r="A44" s="69">
        <v>44.0</v>
      </c>
      <c r="B44" s="196" t="s">
        <v>132</v>
      </c>
      <c r="D44" s="69" t="s">
        <v>958</v>
      </c>
    </row>
    <row r="45" ht="12.75" customHeight="1">
      <c r="A45" s="69">
        <v>45.0</v>
      </c>
      <c r="B45" s="196" t="s">
        <v>134</v>
      </c>
      <c r="D45" s="69" t="s">
        <v>959</v>
      </c>
    </row>
    <row r="46" ht="12.75" customHeight="1">
      <c r="A46" s="69">
        <v>46.0</v>
      </c>
      <c r="B46" s="196" t="s">
        <v>137</v>
      </c>
      <c r="D46" s="69" t="s">
        <v>960</v>
      </c>
    </row>
    <row r="47" ht="12.75" customHeight="1">
      <c r="A47" s="69">
        <v>47.0</v>
      </c>
      <c r="B47" s="196" t="s">
        <v>140</v>
      </c>
      <c r="D47" s="69" t="s">
        <v>961</v>
      </c>
    </row>
    <row r="48" ht="12.75" customHeight="1">
      <c r="A48" s="69">
        <v>48.0</v>
      </c>
      <c r="B48" s="196" t="s">
        <v>143</v>
      </c>
      <c r="D48" s="69" t="s">
        <v>962</v>
      </c>
    </row>
    <row r="49" ht="12.75" customHeight="1">
      <c r="A49" s="69">
        <v>49.0</v>
      </c>
      <c r="B49" s="196" t="s">
        <v>135</v>
      </c>
      <c r="D49" s="69" t="s">
        <v>963</v>
      </c>
    </row>
    <row r="50" ht="12.75" customHeight="1">
      <c r="A50" s="69">
        <v>50.0</v>
      </c>
      <c r="B50" s="196" t="s">
        <v>138</v>
      </c>
      <c r="D50" s="69" t="s">
        <v>964</v>
      </c>
    </row>
    <row r="51" ht="12.75" customHeight="1">
      <c r="A51" s="69">
        <v>51.0</v>
      </c>
      <c r="B51" s="196" t="s">
        <v>62</v>
      </c>
      <c r="D51" s="69" t="s">
        <v>965</v>
      </c>
    </row>
    <row r="52" ht="12.75" customHeight="1">
      <c r="A52" s="69">
        <v>52.0</v>
      </c>
      <c r="B52" s="196" t="s">
        <v>141</v>
      </c>
      <c r="D52" s="69" t="s">
        <v>966</v>
      </c>
    </row>
    <row r="53" ht="12.75" customHeight="1">
      <c r="D53" s="69" t="s">
        <v>967</v>
      </c>
    </row>
    <row r="54" ht="12.75" customHeight="1">
      <c r="D54" s="69" t="s">
        <v>968</v>
      </c>
    </row>
    <row r="55" ht="12.75" customHeight="1">
      <c r="D55" s="69" t="s">
        <v>969</v>
      </c>
    </row>
    <row r="56" ht="12.75" customHeight="1">
      <c r="D56" s="69" t="s">
        <v>970</v>
      </c>
    </row>
    <row r="57" ht="12.75" customHeight="1">
      <c r="D57" s="69" t="s">
        <v>971</v>
      </c>
    </row>
    <row r="58" ht="12.75" customHeight="1">
      <c r="D58" s="69" t="s">
        <v>972</v>
      </c>
    </row>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25" width="8.88"/>
  </cols>
  <sheetData>
    <row r="1" ht="12.75" customHeight="1">
      <c r="A1" s="69" t="s">
        <v>289</v>
      </c>
      <c r="B1" s="69" t="s">
        <v>290</v>
      </c>
      <c r="C1" s="69" t="s">
        <v>291</v>
      </c>
      <c r="D1" s="69" t="s">
        <v>292</v>
      </c>
      <c r="E1" s="69" t="s">
        <v>293</v>
      </c>
      <c r="F1" s="69" t="s">
        <v>294</v>
      </c>
      <c r="G1" s="69" t="s">
        <v>295</v>
      </c>
      <c r="H1" s="69" t="s">
        <v>296</v>
      </c>
      <c r="I1" s="69" t="s">
        <v>297</v>
      </c>
      <c r="J1" s="69" t="s">
        <v>298</v>
      </c>
      <c r="K1" s="69" t="s">
        <v>299</v>
      </c>
      <c r="L1" s="69" t="s">
        <v>300</v>
      </c>
      <c r="M1" s="69" t="s">
        <v>301</v>
      </c>
      <c r="N1" s="69" t="s">
        <v>302</v>
      </c>
      <c r="O1" s="69" t="s">
        <v>303</v>
      </c>
      <c r="P1" s="69" t="s">
        <v>304</v>
      </c>
      <c r="Q1" s="69" t="s">
        <v>305</v>
      </c>
      <c r="R1" s="69" t="s">
        <v>306</v>
      </c>
      <c r="S1" s="69" t="s">
        <v>307</v>
      </c>
      <c r="T1" s="69" t="s">
        <v>308</v>
      </c>
      <c r="U1" s="69" t="s">
        <v>309</v>
      </c>
      <c r="V1" s="69" t="s">
        <v>310</v>
      </c>
      <c r="W1" s="69" t="s">
        <v>311</v>
      </c>
      <c r="X1" s="69" t="s">
        <v>312</v>
      </c>
      <c r="Y1" s="69" t="s">
        <v>313</v>
      </c>
      <c r="Z1" s="69" t="s">
        <v>314</v>
      </c>
      <c r="AA1" s="69" t="s">
        <v>315</v>
      </c>
      <c r="AB1" s="69" t="s">
        <v>316</v>
      </c>
      <c r="AC1" s="69" t="s">
        <v>317</v>
      </c>
      <c r="AD1" s="69" t="s">
        <v>318</v>
      </c>
      <c r="AE1" s="69" t="s">
        <v>319</v>
      </c>
      <c r="AF1" s="69" t="s">
        <v>320</v>
      </c>
      <c r="AG1" s="69" t="s">
        <v>321</v>
      </c>
      <c r="AH1" s="69" t="s">
        <v>322</v>
      </c>
      <c r="AI1" s="69" t="s">
        <v>323</v>
      </c>
      <c r="AJ1" s="69" t="s">
        <v>324</v>
      </c>
      <c r="AK1" s="69" t="s">
        <v>325</v>
      </c>
      <c r="AL1" s="69" t="s">
        <v>326</v>
      </c>
      <c r="AM1" s="69" t="s">
        <v>327</v>
      </c>
      <c r="AN1" s="69" t="s">
        <v>328</v>
      </c>
      <c r="AO1" s="69" t="s">
        <v>329</v>
      </c>
      <c r="AP1" s="69" t="s">
        <v>330</v>
      </c>
      <c r="AQ1" s="69" t="s">
        <v>331</v>
      </c>
      <c r="AR1" s="69" t="s">
        <v>332</v>
      </c>
      <c r="AS1" s="69" t="s">
        <v>333</v>
      </c>
      <c r="AT1" s="69" t="s">
        <v>334</v>
      </c>
      <c r="AU1" s="69" t="s">
        <v>335</v>
      </c>
      <c r="AV1" s="69" t="s">
        <v>336</v>
      </c>
      <c r="AW1" s="69" t="s">
        <v>337</v>
      </c>
      <c r="AX1" s="69" t="s">
        <v>338</v>
      </c>
      <c r="AY1" s="69" t="s">
        <v>339</v>
      </c>
      <c r="AZ1" s="69" t="s">
        <v>340</v>
      </c>
      <c r="BA1" s="69" t="s">
        <v>341</v>
      </c>
      <c r="BB1" s="69" t="s">
        <v>342</v>
      </c>
      <c r="BC1" s="69" t="s">
        <v>343</v>
      </c>
      <c r="BD1" s="69" t="s">
        <v>344</v>
      </c>
      <c r="BE1" s="69" t="s">
        <v>345</v>
      </c>
      <c r="BF1" s="69" t="s">
        <v>346</v>
      </c>
      <c r="BG1" s="69" t="s">
        <v>347</v>
      </c>
      <c r="BH1" s="69" t="s">
        <v>348</v>
      </c>
      <c r="BI1" s="69" t="s">
        <v>349</v>
      </c>
      <c r="BJ1" s="69" t="s">
        <v>350</v>
      </c>
      <c r="BK1" s="69" t="s">
        <v>351</v>
      </c>
      <c r="BL1" s="69" t="s">
        <v>352</v>
      </c>
      <c r="BM1" s="69" t="s">
        <v>353</v>
      </c>
      <c r="BN1" s="69" t="s">
        <v>354</v>
      </c>
      <c r="BO1" s="69" t="s">
        <v>355</v>
      </c>
      <c r="BP1" s="69" t="s">
        <v>356</v>
      </c>
      <c r="BQ1" s="69" t="s">
        <v>357</v>
      </c>
      <c r="BR1" s="69" t="s">
        <v>358</v>
      </c>
      <c r="BS1" s="69" t="s">
        <v>359</v>
      </c>
      <c r="BT1" s="69" t="s">
        <v>360</v>
      </c>
      <c r="BU1" s="69" t="s">
        <v>361</v>
      </c>
      <c r="BV1" s="69" t="s">
        <v>362</v>
      </c>
      <c r="BW1" s="69" t="s">
        <v>363</v>
      </c>
      <c r="BX1" s="69" t="s">
        <v>364</v>
      </c>
      <c r="BY1" s="69" t="s">
        <v>365</v>
      </c>
      <c r="BZ1" s="69" t="s">
        <v>366</v>
      </c>
      <c r="CA1" s="69" t="s">
        <v>367</v>
      </c>
      <c r="CB1" s="69" t="s">
        <v>368</v>
      </c>
      <c r="CC1" s="69" t="s">
        <v>369</v>
      </c>
      <c r="CD1" s="69" t="s">
        <v>370</v>
      </c>
      <c r="CE1" s="69" t="s">
        <v>371</v>
      </c>
      <c r="CF1" s="69" t="s">
        <v>372</v>
      </c>
      <c r="CG1" s="69" t="s">
        <v>373</v>
      </c>
      <c r="CH1" s="69" t="s">
        <v>374</v>
      </c>
      <c r="CI1" s="69" t="s">
        <v>375</v>
      </c>
      <c r="CJ1" s="69" t="s">
        <v>376</v>
      </c>
      <c r="CK1" s="69" t="s">
        <v>377</v>
      </c>
      <c r="CL1" s="69" t="s">
        <v>378</v>
      </c>
      <c r="CM1" s="69" t="s">
        <v>379</v>
      </c>
      <c r="CN1" s="69" t="s">
        <v>380</v>
      </c>
      <c r="CO1" s="69" t="s">
        <v>381</v>
      </c>
      <c r="CP1" s="69" t="s">
        <v>382</v>
      </c>
      <c r="CQ1" s="69" t="s">
        <v>383</v>
      </c>
      <c r="CR1" s="69" t="s">
        <v>384</v>
      </c>
      <c r="CS1" s="69" t="s">
        <v>385</v>
      </c>
      <c r="CT1" s="69" t="s">
        <v>386</v>
      </c>
      <c r="CU1" s="69" t="s">
        <v>387</v>
      </c>
      <c r="CV1" s="69" t="s">
        <v>388</v>
      </c>
      <c r="CW1" s="69" t="s">
        <v>389</v>
      </c>
      <c r="CX1" s="69" t="s">
        <v>390</v>
      </c>
      <c r="CY1" s="69" t="s">
        <v>391</v>
      </c>
      <c r="CZ1" s="69" t="s">
        <v>392</v>
      </c>
      <c r="DA1" s="69" t="s">
        <v>393</v>
      </c>
      <c r="DB1" s="69" t="s">
        <v>394</v>
      </c>
      <c r="DC1" s="69" t="s">
        <v>395</v>
      </c>
      <c r="DD1" s="69" t="s">
        <v>396</v>
      </c>
      <c r="DE1" s="69" t="s">
        <v>397</v>
      </c>
      <c r="DF1" s="69" t="s">
        <v>398</v>
      </c>
      <c r="DG1" s="69" t="s">
        <v>399</v>
      </c>
      <c r="DH1" s="69" t="s">
        <v>400</v>
      </c>
      <c r="DI1" s="69" t="s">
        <v>401</v>
      </c>
      <c r="DJ1" s="69" t="s">
        <v>402</v>
      </c>
      <c r="DK1" s="69" t="s">
        <v>403</v>
      </c>
      <c r="DL1" s="69" t="s">
        <v>404</v>
      </c>
      <c r="DM1" s="69" t="s">
        <v>405</v>
      </c>
      <c r="DN1" s="69" t="s">
        <v>406</v>
      </c>
      <c r="DO1" s="69" t="s">
        <v>407</v>
      </c>
      <c r="DP1" s="69" t="s">
        <v>408</v>
      </c>
      <c r="DQ1" s="69" t="s">
        <v>409</v>
      </c>
      <c r="DR1" s="69" t="s">
        <v>410</v>
      </c>
      <c r="DS1" s="69" t="s">
        <v>411</v>
      </c>
      <c r="DT1" s="69" t="s">
        <v>412</v>
      </c>
      <c r="DU1" s="69" t="s">
        <v>413</v>
      </c>
      <c r="DV1" s="69" t="s">
        <v>414</v>
      </c>
      <c r="DW1" s="69" t="s">
        <v>415</v>
      </c>
      <c r="DX1" s="69" t="s">
        <v>416</v>
      </c>
      <c r="DY1" s="69" t="s">
        <v>417</v>
      </c>
      <c r="DZ1" s="69" t="s">
        <v>418</v>
      </c>
      <c r="EA1" s="69" t="s">
        <v>419</v>
      </c>
      <c r="EB1" s="69" t="s">
        <v>420</v>
      </c>
      <c r="EC1" s="69" t="s">
        <v>421</v>
      </c>
      <c r="ED1" s="69" t="s">
        <v>422</v>
      </c>
      <c r="EE1" s="69" t="s">
        <v>423</v>
      </c>
      <c r="EF1" s="69" t="s">
        <v>424</v>
      </c>
      <c r="EG1" s="69" t="s">
        <v>425</v>
      </c>
      <c r="EH1" s="69" t="s">
        <v>426</v>
      </c>
      <c r="EI1" s="69" t="s">
        <v>427</v>
      </c>
      <c r="EJ1" s="69" t="s">
        <v>428</v>
      </c>
      <c r="EK1" s="69" t="s">
        <v>429</v>
      </c>
      <c r="EL1" s="69" t="s">
        <v>430</v>
      </c>
      <c r="EM1" s="69" t="s">
        <v>431</v>
      </c>
      <c r="EN1" s="69" t="s">
        <v>432</v>
      </c>
      <c r="EO1" s="69" t="s">
        <v>433</v>
      </c>
      <c r="EP1" s="69" t="s">
        <v>434</v>
      </c>
      <c r="EQ1" s="69" t="s">
        <v>435</v>
      </c>
      <c r="ER1" s="69" t="s">
        <v>436</v>
      </c>
      <c r="ES1" s="69" t="s">
        <v>437</v>
      </c>
      <c r="ET1" s="69" t="s">
        <v>438</v>
      </c>
      <c r="EU1" s="69" t="s">
        <v>439</v>
      </c>
      <c r="EV1" s="69" t="s">
        <v>440</v>
      </c>
      <c r="EW1" s="69" t="s">
        <v>441</v>
      </c>
      <c r="EX1" s="69" t="s">
        <v>442</v>
      </c>
      <c r="EY1" s="69" t="s">
        <v>443</v>
      </c>
      <c r="EZ1" s="69" t="s">
        <v>444</v>
      </c>
      <c r="FA1" s="69" t="s">
        <v>445</v>
      </c>
      <c r="FB1" s="69" t="s">
        <v>446</v>
      </c>
      <c r="FC1" s="69" t="s">
        <v>447</v>
      </c>
      <c r="FD1" s="69" t="s">
        <v>448</v>
      </c>
      <c r="FE1" s="69" t="s">
        <v>449</v>
      </c>
      <c r="FF1" s="69" t="s">
        <v>450</v>
      </c>
      <c r="FG1" s="69" t="s">
        <v>451</v>
      </c>
      <c r="FH1" s="69" t="s">
        <v>452</v>
      </c>
      <c r="FI1" s="69" t="s">
        <v>453</v>
      </c>
      <c r="FJ1" s="69" t="s">
        <v>454</v>
      </c>
      <c r="FK1" s="69" t="s">
        <v>455</v>
      </c>
      <c r="FL1" s="69" t="s">
        <v>456</v>
      </c>
      <c r="FM1" s="69" t="s">
        <v>457</v>
      </c>
      <c r="FN1" s="69" t="s">
        <v>458</v>
      </c>
      <c r="FO1" s="69" t="s">
        <v>459</v>
      </c>
      <c r="FP1" s="69" t="s">
        <v>460</v>
      </c>
      <c r="FQ1" s="69" t="s">
        <v>461</v>
      </c>
      <c r="FR1" s="69" t="s">
        <v>462</v>
      </c>
      <c r="FS1" s="69" t="s">
        <v>463</v>
      </c>
      <c r="FT1" s="69" t="s">
        <v>464</v>
      </c>
      <c r="FU1" s="69" t="s">
        <v>465</v>
      </c>
      <c r="FV1" s="69" t="s">
        <v>466</v>
      </c>
      <c r="FW1" s="69" t="s">
        <v>467</v>
      </c>
      <c r="FX1" s="69" t="s">
        <v>468</v>
      </c>
      <c r="FY1" s="69" t="s">
        <v>469</v>
      </c>
      <c r="FZ1" s="69" t="s">
        <v>470</v>
      </c>
      <c r="GA1" s="69" t="s">
        <v>471</v>
      </c>
      <c r="GB1" s="69" t="s">
        <v>472</v>
      </c>
      <c r="GC1" s="69" t="s">
        <v>473</v>
      </c>
      <c r="GD1" s="69" t="s">
        <v>474</v>
      </c>
      <c r="GE1" s="69" t="s">
        <v>475</v>
      </c>
      <c r="GF1" s="69" t="s">
        <v>476</v>
      </c>
      <c r="GG1" s="69" t="s">
        <v>477</v>
      </c>
      <c r="GH1" s="69" t="s">
        <v>478</v>
      </c>
      <c r="GI1" s="69" t="s">
        <v>479</v>
      </c>
      <c r="GJ1" s="69" t="s">
        <v>480</v>
      </c>
      <c r="GK1" s="69" t="s">
        <v>481</v>
      </c>
      <c r="GL1" s="69" t="s">
        <v>482</v>
      </c>
      <c r="GM1" s="69" t="s">
        <v>483</v>
      </c>
      <c r="GN1" s="69" t="s">
        <v>484</v>
      </c>
      <c r="GO1" s="69" t="s">
        <v>485</v>
      </c>
      <c r="GP1" s="69" t="s">
        <v>486</v>
      </c>
      <c r="GQ1" s="69" t="s">
        <v>487</v>
      </c>
      <c r="GR1" s="69" t="s">
        <v>488</v>
      </c>
      <c r="GS1" s="69" t="s">
        <v>489</v>
      </c>
      <c r="GT1" s="69" t="s">
        <v>490</v>
      </c>
      <c r="GU1" s="69" t="s">
        <v>491</v>
      </c>
      <c r="GV1" s="69" t="s">
        <v>492</v>
      </c>
      <c r="GW1" s="69" t="s">
        <v>493</v>
      </c>
      <c r="GX1" s="69" t="s">
        <v>494</v>
      </c>
      <c r="GY1" s="69" t="s">
        <v>495</v>
      </c>
      <c r="GZ1" s="69" t="s">
        <v>496</v>
      </c>
      <c r="HA1" s="69" t="s">
        <v>497</v>
      </c>
      <c r="HB1" s="69" t="s">
        <v>498</v>
      </c>
      <c r="HC1" s="69" t="s">
        <v>499</v>
      </c>
      <c r="HD1" s="69" t="s">
        <v>500</v>
      </c>
      <c r="HE1" s="69" t="s">
        <v>501</v>
      </c>
      <c r="HF1" s="69" t="s">
        <v>502</v>
      </c>
      <c r="HG1" s="69" t="s">
        <v>503</v>
      </c>
      <c r="HH1" s="69" t="s">
        <v>504</v>
      </c>
      <c r="HI1" s="69" t="s">
        <v>505</v>
      </c>
      <c r="HJ1" s="69" t="s">
        <v>506</v>
      </c>
      <c r="HK1" s="69" t="s">
        <v>507</v>
      </c>
      <c r="HL1" s="69" t="s">
        <v>508</v>
      </c>
      <c r="HM1" s="69" t="s">
        <v>509</v>
      </c>
      <c r="HN1" s="69" t="s">
        <v>510</v>
      </c>
      <c r="HO1" s="69" t="s">
        <v>511</v>
      </c>
      <c r="HP1" s="69" t="s">
        <v>512</v>
      </c>
      <c r="HQ1" s="69" t="s">
        <v>513</v>
      </c>
    </row>
    <row r="2" ht="12.75" customHeight="1">
      <c r="A2" s="28" t="str">
        <f>County</f>
        <v>Amador</v>
      </c>
      <c r="B2" s="280">
        <f>Reportdate</f>
        <v>45540</v>
      </c>
      <c r="C2" s="69" t="str">
        <f>Chief</f>
        <v>#REF!</v>
      </c>
      <c r="D2" s="69" t="str">
        <f>Chiefphone2</f>
        <v>#REF!</v>
      </c>
      <c r="E2" s="69" t="str">
        <f>Address</f>
        <v>#REF!</v>
      </c>
      <c r="F2" s="69" t="str">
        <f>City</f>
        <v>#REF!</v>
      </c>
      <c r="G2" s="281" t="str">
        <f>ZIP</f>
        <v>#REF!</v>
      </c>
      <c r="H2" s="69" t="str">
        <f>Chiefemail2</f>
        <v>#REF!</v>
      </c>
      <c r="I2" s="69" t="str">
        <f>primcontact</f>
        <v>Mark Bonini</v>
      </c>
      <c r="J2" s="69" t="str">
        <f>primarytitle</f>
        <v>Chief Probation Officer</v>
      </c>
      <c r="K2" s="69" t="str">
        <f>primphone</f>
        <v>209-223-6397</v>
      </c>
      <c r="L2" s="282" t="str">
        <f>preemail</f>
        <v>mbonini@amadorgov.org</v>
      </c>
      <c r="M2" s="283" t="str">
        <f>seccontact</f>
        <v>James King</v>
      </c>
      <c r="N2" s="283" t="str">
        <f>seccontitle</f>
        <v>Unit Supervisor</v>
      </c>
      <c r="O2" s="69" t="str">
        <f>secphone</f>
        <v>209-223-6455</v>
      </c>
      <c r="P2" s="282" t="str">
        <f>secemail</f>
        <v>jking@amadorgov.org</v>
      </c>
      <c r="Q2" s="69" t="str">
        <f>t1yobgtot+t2yobgtot+t3yobgtot+t4yobgtot+t5yobgtot+t6yobgtot+t7yobgtot+t8yobgtot+t9yobgtot+t10yobgtot</f>
        <v>#REF!</v>
      </c>
      <c r="R2" s="69" t="str">
        <f>t1jjcpatot+t2jjcpatot+t3jjcpatot+t4jjcpatot+t5jjcpatot+t6jjcpatot+t7jjcpatot+t8jjcpatot+t9jjcpatot+t10jjcpatot</f>
        <v>#REF!</v>
      </c>
      <c r="S2" s="69" t="str">
        <f>t1othertot+t2othertot+t3othertot+t4othertot+t5othertot+t6othertot+t7othertot+t8othertot+t9othertot+t10othertot</f>
        <v>#REF!</v>
      </c>
      <c r="T2" s="69" t="str">
        <f>t1casecount+t2casecount+t3casecount+t4casecount+t5casecount+t6casecount+t7casecount+t8casecount+t9casecount+t10casecount</f>
        <v>#REF!</v>
      </c>
      <c r="U2" s="69" t="str">
        <f>Numecodet1</f>
        <v>#REF!</v>
      </c>
      <c r="V2" s="69" t="str">
        <f>Numealtt1</f>
        <v>#REF!</v>
      </c>
      <c r="W2" s="284">
        <f>t1yobgsal</f>
        <v>136210.55</v>
      </c>
      <c r="X2" s="284" t="str">
        <f>t1yobgserv</f>
        <v/>
      </c>
      <c r="Y2" s="284" t="str">
        <f>t1yobgprof</f>
        <v/>
      </c>
      <c r="Z2" s="284" t="str">
        <f>t1yobgcbo</f>
        <v/>
      </c>
      <c r="AA2" s="284" t="str">
        <f>t1yobgequip</f>
        <v/>
      </c>
      <c r="AB2" s="284" t="str">
        <f>t1yobgadmin</f>
        <v/>
      </c>
      <c r="AC2" s="284" t="str">
        <f>t1yobgothr1</f>
        <v/>
      </c>
      <c r="AD2" s="284" t="str">
        <f>t1yobgothr2</f>
        <v/>
      </c>
      <c r="AE2" s="284" t="str">
        <f>t1yobgothr3</f>
        <v/>
      </c>
      <c r="AF2" s="284">
        <f>t1yobgtot</f>
        <v>136210.55</v>
      </c>
      <c r="AG2" s="284" t="str">
        <f>t1jjcpasal</f>
        <v/>
      </c>
      <c r="AH2" s="284" t="str">
        <f>t1jjcpaserv</f>
        <v/>
      </c>
      <c r="AI2" s="284" t="str">
        <f>t1jjcpaprof</f>
        <v/>
      </c>
      <c r="AJ2" s="284" t="str">
        <f>t1jjcpacbo</f>
        <v/>
      </c>
      <c r="AK2" s="284" t="str">
        <f>t1jjcpaequip</f>
        <v/>
      </c>
      <c r="AL2" s="284" t="str">
        <f>t1jjcpaadmin</f>
        <v/>
      </c>
      <c r="AM2" s="284" t="str">
        <f>t1jjcpaothr1</f>
        <v/>
      </c>
      <c r="AN2" s="284" t="str">
        <f>t1jjcpaothr2</f>
        <v/>
      </c>
      <c r="AO2" s="284" t="str">
        <f>t1jjcpaothr3</f>
        <v/>
      </c>
      <c r="AP2" s="284">
        <f>t1jjcpatot</f>
        <v>0</v>
      </c>
      <c r="AQ2" s="284" t="str">
        <f>t1othersal</f>
        <v/>
      </c>
      <c r="AR2" s="284" t="str">
        <f>t1otherserv</f>
        <v/>
      </c>
      <c r="AS2" s="284" t="str">
        <f>t1otherprof</f>
        <v/>
      </c>
      <c r="AT2" s="284" t="str">
        <f>t1othercbo</f>
        <v/>
      </c>
      <c r="AU2" s="284" t="str">
        <f>t1otherequip</f>
        <v/>
      </c>
      <c r="AV2" s="284" t="str">
        <f>t1otheradmin</f>
        <v/>
      </c>
      <c r="AW2" s="284" t="str">
        <f>t1otherothr1</f>
        <v/>
      </c>
      <c r="AX2" s="284" t="str">
        <f>t1otherothr2</f>
        <v/>
      </c>
      <c r="AY2" s="284" t="str">
        <f>t1otherothr3</f>
        <v/>
      </c>
      <c r="AZ2" s="284">
        <f>t1othertot</f>
        <v>0</v>
      </c>
      <c r="BA2" s="281" t="str">
        <f>t1casecount</f>
        <v>#REF!</v>
      </c>
      <c r="BB2" s="285" t="str">
        <f>t1yobgpercap</f>
        <v>#REF!</v>
      </c>
      <c r="BC2" s="285" t="str">
        <f>t1totpercap</f>
        <v>#REF!</v>
      </c>
      <c r="BD2" s="281" t="str">
        <f>t1youth1</f>
        <v>#REF!</v>
      </c>
      <c r="BE2" s="281" t="str">
        <f>t1youth2</f>
        <v>#REF!</v>
      </c>
      <c r="BF2" s="281" t="str">
        <f>t1youth3</f>
        <v>#REF!</v>
      </c>
      <c r="BG2" s="281" t="str">
        <f>t1youth4</f>
        <v>#REF!</v>
      </c>
      <c r="BH2" s="281" t="str">
        <f>t1youth5</f>
        <v>#REF!</v>
      </c>
      <c r="BI2" s="281" t="str">
        <f>t1youth6</f>
        <v>#REF!</v>
      </c>
      <c r="BJ2" s="69" t="str">
        <f>Numecodet2</f>
        <v>#REF!</v>
      </c>
      <c r="BK2" s="69" t="str">
        <f>Numealtt2</f>
        <v>#REF!</v>
      </c>
      <c r="BL2" s="284" t="str">
        <f>t2yobgsal</f>
        <v>#REF!</v>
      </c>
      <c r="BM2" s="284" t="str">
        <f>t2yobgserv</f>
        <v>#REF!</v>
      </c>
      <c r="BN2" s="284" t="str">
        <f>t2yobgprof</f>
        <v>#REF!</v>
      </c>
      <c r="BO2" s="284" t="str">
        <f>t2yobgcbo</f>
        <v>#REF!</v>
      </c>
      <c r="BP2" s="284" t="str">
        <f>t2yobgequip</f>
        <v>#REF!</v>
      </c>
      <c r="BQ2" s="284" t="str">
        <f>t2yobgadmin</f>
        <v>#REF!</v>
      </c>
      <c r="BR2" s="284" t="str">
        <f>t2yobgothr1</f>
        <v>#REF!</v>
      </c>
      <c r="BS2" s="284" t="str">
        <f>t2yobgothr2</f>
        <v>#REF!</v>
      </c>
      <c r="BT2" s="284" t="str">
        <f>t2yobgothr3</f>
        <v>#REF!</v>
      </c>
      <c r="BU2" s="284" t="str">
        <f>t2yobgtot</f>
        <v>#REF!</v>
      </c>
      <c r="BV2" s="284" t="str">
        <f>t2jjcpasal</f>
        <v>#REF!</v>
      </c>
      <c r="BW2" s="284" t="str">
        <f>t2jjcpaserv</f>
        <v>#REF!</v>
      </c>
      <c r="BX2" s="284" t="str">
        <f>t2jjcpaprof</f>
        <v>#REF!</v>
      </c>
      <c r="BY2" s="284" t="str">
        <f>t2jjcpacbo</f>
        <v>#REF!</v>
      </c>
      <c r="BZ2" s="284" t="str">
        <f>t2jjcpaequip</f>
        <v>#REF!</v>
      </c>
      <c r="CA2" s="284" t="str">
        <f>t2jjcpaadmin</f>
        <v>#REF!</v>
      </c>
      <c r="CB2" s="284" t="str">
        <f>t2jjcpaothr1</f>
        <v>#REF!</v>
      </c>
      <c r="CC2" s="284" t="str">
        <f>t2jjcpaothr2</f>
        <v>#REF!</v>
      </c>
      <c r="CD2" s="284" t="str">
        <f>t2jjcpaothr3</f>
        <v>#REF!</v>
      </c>
      <c r="CE2" s="284" t="str">
        <f>t2jjcpatot</f>
        <v>#REF!</v>
      </c>
      <c r="CF2" s="284" t="str">
        <f>t2othersal</f>
        <v>#REF!</v>
      </c>
      <c r="CG2" s="284" t="str">
        <f>t2otherserv</f>
        <v>#REF!</v>
      </c>
      <c r="CH2" s="284" t="str">
        <f>t2otherprof</f>
        <v>#REF!</v>
      </c>
      <c r="CI2" s="284" t="str">
        <f>t2othercbo</f>
        <v>#REF!</v>
      </c>
      <c r="CJ2" s="284" t="str">
        <f>t2otherequip</f>
        <v>#REF!</v>
      </c>
      <c r="CK2" s="284" t="str">
        <f>t2otheradmin</f>
        <v>#REF!</v>
      </c>
      <c r="CL2" s="284" t="str">
        <f>t2otherothr1</f>
        <v>#REF!</v>
      </c>
      <c r="CM2" s="284" t="str">
        <f>t2otherothr2</f>
        <v>#REF!</v>
      </c>
      <c r="CN2" s="284" t="str">
        <f>t2otherothr3</f>
        <v>#REF!</v>
      </c>
      <c r="CO2" s="284" t="str">
        <f>t2othertot</f>
        <v>#REF!</v>
      </c>
      <c r="CP2" s="281" t="str">
        <f>t2casecount</f>
        <v>#REF!</v>
      </c>
      <c r="CQ2" s="285" t="str">
        <f>t2yobgpercap</f>
        <v>#REF!</v>
      </c>
      <c r="CR2" s="285" t="str">
        <f>t2totpercap</f>
        <v>#REF!</v>
      </c>
      <c r="CS2" s="281" t="str">
        <f>t2youth1</f>
        <v>#REF!</v>
      </c>
      <c r="CT2" s="281" t="str">
        <f>t2youth2</f>
        <v>#REF!</v>
      </c>
      <c r="CU2" s="281" t="str">
        <f>t2youth3</f>
        <v>#REF!</v>
      </c>
      <c r="CV2" s="281" t="str">
        <f>t2youth4</f>
        <v>#REF!</v>
      </c>
      <c r="CW2" s="281" t="str">
        <f>t2youth5</f>
        <v>#REF!</v>
      </c>
      <c r="CX2" s="281" t="str">
        <f>t2youth6</f>
        <v>#REF!</v>
      </c>
      <c r="CY2" s="69" t="str">
        <f>Numecodet3</f>
        <v>#REF!</v>
      </c>
      <c r="CZ2" s="69" t="str">
        <f>Numealtt3</f>
        <v>#REF!</v>
      </c>
      <c r="DA2" s="284" t="str">
        <f>t3yobgsal</f>
        <v>#REF!</v>
      </c>
      <c r="DB2" s="284" t="str">
        <f>t3yobgserv</f>
        <v>#REF!</v>
      </c>
      <c r="DC2" s="284" t="str">
        <f>t3yobgprof</f>
        <v>#REF!</v>
      </c>
      <c r="DD2" s="284" t="str">
        <f>t3yobgcbo</f>
        <v>#REF!</v>
      </c>
      <c r="DE2" s="284" t="str">
        <f>t3yobgequip</f>
        <v>#REF!</v>
      </c>
      <c r="DF2" s="284" t="str">
        <f>t3yobgadmin</f>
        <v>#REF!</v>
      </c>
      <c r="DG2" s="284" t="str">
        <f>t3yobgothr1</f>
        <v>#REF!</v>
      </c>
      <c r="DH2" s="284" t="str">
        <f>t3yobgothr2</f>
        <v>#REF!</v>
      </c>
      <c r="DI2" s="284" t="str">
        <f>t3yobgothr3</f>
        <v>#REF!</v>
      </c>
      <c r="DJ2" s="284" t="str">
        <f>t3yobgtot</f>
        <v>#REF!</v>
      </c>
      <c r="DK2" s="284" t="str">
        <f>t3jjcpasal</f>
        <v>#REF!</v>
      </c>
      <c r="DL2" s="284" t="str">
        <f>t3jjcpaserv</f>
        <v>#REF!</v>
      </c>
      <c r="DM2" s="284" t="str">
        <f>t3jjcpaprof</f>
        <v>#REF!</v>
      </c>
      <c r="DN2" s="284" t="str">
        <f>t3jjcpacbo</f>
        <v>#REF!</v>
      </c>
      <c r="DO2" s="284" t="str">
        <f>t3jjcpaequip</f>
        <v>#REF!</v>
      </c>
      <c r="DP2" s="284" t="str">
        <f>t3jjcpaadmin</f>
        <v>#REF!</v>
      </c>
      <c r="DQ2" s="284" t="str">
        <f>t3jjcpaothr1</f>
        <v>#REF!</v>
      </c>
      <c r="DR2" s="284" t="str">
        <f>t3jjcpaothr2</f>
        <v>#REF!</v>
      </c>
      <c r="DS2" s="284" t="str">
        <f>t3jjcpaothr3</f>
        <v>#REF!</v>
      </c>
      <c r="DT2" s="284" t="str">
        <f>t3jjcpatot</f>
        <v>#REF!</v>
      </c>
      <c r="DU2" s="284" t="str">
        <f>t3othersal</f>
        <v>#REF!</v>
      </c>
      <c r="DV2" s="284" t="str">
        <f>t3otherserv</f>
        <v>#REF!</v>
      </c>
      <c r="DW2" s="284" t="str">
        <f>t3otherprof</f>
        <v>#REF!</v>
      </c>
      <c r="DX2" s="284" t="str">
        <f>t3othercbo</f>
        <v>#REF!</v>
      </c>
      <c r="DY2" s="284" t="str">
        <f>t3otherequip</f>
        <v>#REF!</v>
      </c>
      <c r="DZ2" s="284" t="str">
        <f>t3otheradmin</f>
        <v>#REF!</v>
      </c>
      <c r="EA2" s="284" t="str">
        <f>t3otherothr1</f>
        <v>#REF!</v>
      </c>
      <c r="EB2" s="284" t="str">
        <f>t3otherothr2</f>
        <v>#REF!</v>
      </c>
      <c r="EC2" s="284" t="str">
        <f>t3otherothr3</f>
        <v>#REF!</v>
      </c>
      <c r="ED2" s="284" t="str">
        <f>t3othertot</f>
        <v>#REF!</v>
      </c>
      <c r="EE2" s="281" t="str">
        <f>t3casecount</f>
        <v>#REF!</v>
      </c>
      <c r="EF2" s="285" t="str">
        <f>t3yobgpercap</f>
        <v>#REF!</v>
      </c>
      <c r="EG2" s="285" t="str">
        <f>t3totpercap</f>
        <v>#REF!</v>
      </c>
      <c r="EH2" s="281" t="str">
        <f>t3youth1</f>
        <v>#REF!</v>
      </c>
      <c r="EI2" s="281" t="str">
        <f>t3youth2</f>
        <v>#REF!</v>
      </c>
      <c r="EJ2" s="281" t="str">
        <f>t3youth3</f>
        <v>#REF!</v>
      </c>
      <c r="EK2" s="281" t="str">
        <f>t3youth4</f>
        <v>#REF!</v>
      </c>
      <c r="EL2" s="281" t="str">
        <f>t3youth5</f>
        <v>#REF!</v>
      </c>
      <c r="EM2" s="281" t="str">
        <f>t3youth6</f>
        <v>#REF!</v>
      </c>
      <c r="EN2" s="69" t="str">
        <f>Numecodet4</f>
        <v>#REF!</v>
      </c>
      <c r="EO2" s="69" t="str">
        <f>Numealtt4</f>
        <v>#REF!</v>
      </c>
      <c r="EP2" s="284" t="str">
        <f>t4yobgsal</f>
        <v>#REF!</v>
      </c>
      <c r="EQ2" s="284" t="str">
        <f>t4yobgserv</f>
        <v>#REF!</v>
      </c>
      <c r="ER2" s="284" t="str">
        <f>t4yobgprof</f>
        <v>#REF!</v>
      </c>
      <c r="ES2" s="284" t="str">
        <f>t4yobgcbo</f>
        <v>#REF!</v>
      </c>
      <c r="ET2" s="284" t="str">
        <f>t4yobgequip</f>
        <v>#REF!</v>
      </c>
      <c r="EU2" s="284" t="str">
        <f>t4yobgadmin</f>
        <v>#REF!</v>
      </c>
      <c r="EV2" s="284" t="str">
        <f>t4yobgothr1</f>
        <v>#REF!</v>
      </c>
      <c r="EW2" s="284" t="str">
        <f>t4yobgothr2</f>
        <v>#REF!</v>
      </c>
      <c r="EX2" s="284" t="str">
        <f>t4yobgothr3</f>
        <v>#REF!</v>
      </c>
      <c r="EY2" s="284" t="str">
        <f>t4yobgtot</f>
        <v>#REF!</v>
      </c>
      <c r="EZ2" s="284" t="str">
        <f>t4jjcpasal</f>
        <v>#REF!</v>
      </c>
      <c r="FA2" s="284" t="str">
        <f>t4jjcpaserv</f>
        <v>#REF!</v>
      </c>
      <c r="FB2" s="284" t="str">
        <f>t4jjcpaprof</f>
        <v>#REF!</v>
      </c>
      <c r="FC2" s="284" t="str">
        <f>t4jjcpacbo</f>
        <v>#REF!</v>
      </c>
      <c r="FD2" s="284" t="str">
        <f>t4jjcpaequip</f>
        <v>#REF!</v>
      </c>
      <c r="FE2" s="284" t="str">
        <f>t4jjcpaadmin</f>
        <v>#REF!</v>
      </c>
      <c r="FF2" s="284" t="str">
        <f>t4jjcpaothr1</f>
        <v>#REF!</v>
      </c>
      <c r="FG2" s="284" t="str">
        <f>t4jjcpaothr2</f>
        <v>#REF!</v>
      </c>
      <c r="FH2" s="284" t="str">
        <f>t4jjcpaothr3</f>
        <v>#REF!</v>
      </c>
      <c r="FI2" s="284" t="str">
        <f>t4jjcpatot</f>
        <v>#REF!</v>
      </c>
      <c r="FJ2" s="284" t="str">
        <f>t4othersal</f>
        <v>#REF!</v>
      </c>
      <c r="FK2" s="284" t="str">
        <f>t4otherserv</f>
        <v>#REF!</v>
      </c>
      <c r="FL2" s="284" t="str">
        <f>t4otherprof</f>
        <v>#REF!</v>
      </c>
      <c r="FM2" s="284" t="str">
        <f>t4othercbo</f>
        <v>#REF!</v>
      </c>
      <c r="FN2" s="284" t="str">
        <f>t4otherequip</f>
        <v>#REF!</v>
      </c>
      <c r="FO2" s="284" t="str">
        <f>t4otheradmin</f>
        <v>#REF!</v>
      </c>
      <c r="FP2" s="284" t="str">
        <f>t4otherothr1</f>
        <v>#REF!</v>
      </c>
      <c r="FQ2" s="284" t="str">
        <f>t4otherothr2</f>
        <v>#REF!</v>
      </c>
      <c r="FR2" s="284" t="str">
        <f>t4otherothr3</f>
        <v>#REF!</v>
      </c>
      <c r="FS2" s="284" t="str">
        <f>t4othertot</f>
        <v>#REF!</v>
      </c>
      <c r="FT2" s="281" t="str">
        <f>t4casecount</f>
        <v>#REF!</v>
      </c>
      <c r="FU2" s="285" t="str">
        <f>t4yobgpercap</f>
        <v>#REF!</v>
      </c>
      <c r="FV2" s="285" t="str">
        <f>t4totpercap</f>
        <v>#REF!</v>
      </c>
      <c r="FW2" s="281" t="str">
        <f>t4youth1</f>
        <v>#REF!</v>
      </c>
      <c r="FX2" s="281" t="str">
        <f>t4youth2</f>
        <v>#REF!</v>
      </c>
      <c r="FY2" s="281" t="str">
        <f>t4youth3</f>
        <v>#REF!</v>
      </c>
      <c r="FZ2" s="281" t="str">
        <f>t4youth4</f>
        <v>#REF!</v>
      </c>
      <c r="GA2" s="281" t="str">
        <f>t4youth5</f>
        <v>#REF!</v>
      </c>
      <c r="GB2" s="281" t="str">
        <f>t4youth6</f>
        <v>#REF!</v>
      </c>
      <c r="GC2" s="69" t="str">
        <f>Numecodet5</f>
        <v>#REF!</v>
      </c>
      <c r="GD2" s="69" t="str">
        <f>Numealtt5</f>
        <v>#REF!</v>
      </c>
      <c r="GE2" s="284" t="str">
        <f>t5yobgsal</f>
        <v>#REF!</v>
      </c>
      <c r="GF2" s="284" t="str">
        <f>t5yobgserv</f>
        <v>#REF!</v>
      </c>
      <c r="GG2" s="284" t="str">
        <f>t5yobgprof</f>
        <v>#REF!</v>
      </c>
      <c r="GH2" s="284" t="str">
        <f>t5yobgcbo</f>
        <v>#REF!</v>
      </c>
      <c r="GI2" s="284" t="str">
        <f>t5yobgequip</f>
        <v>#REF!</v>
      </c>
      <c r="GJ2" s="284" t="str">
        <f>t5yobgadmin</f>
        <v>#REF!</v>
      </c>
      <c r="GK2" s="284" t="str">
        <f>t5yobgothr1</f>
        <v>#REF!</v>
      </c>
      <c r="GL2" s="284" t="str">
        <f>t5yobgothr2</f>
        <v>#REF!</v>
      </c>
      <c r="GM2" s="284" t="str">
        <f>t5yobgothr3</f>
        <v>#REF!</v>
      </c>
      <c r="GN2" s="284" t="str">
        <f>t5yobgtot</f>
        <v>#REF!</v>
      </c>
      <c r="GO2" s="284" t="str">
        <f>t5jjcpasal</f>
        <v>#REF!</v>
      </c>
      <c r="GP2" s="284" t="str">
        <f>t5jjcpaserv</f>
        <v>#REF!</v>
      </c>
      <c r="GQ2" s="284" t="str">
        <f>t5jjcpaprof</f>
        <v>#REF!</v>
      </c>
      <c r="GR2" s="284" t="str">
        <f>t5jjcpacbo</f>
        <v>#REF!</v>
      </c>
      <c r="GS2" s="284" t="str">
        <f>t5jjcpaequip</f>
        <v>#REF!</v>
      </c>
      <c r="GT2" s="284" t="str">
        <f>t5jjcpaadmin</f>
        <v>#REF!</v>
      </c>
      <c r="GU2" s="284" t="str">
        <f>t5jjcpaothr1</f>
        <v>#REF!</v>
      </c>
      <c r="GV2" s="284" t="str">
        <f>t5jjcpaothr2</f>
        <v>#REF!</v>
      </c>
      <c r="GW2" s="284" t="str">
        <f>t5jjcpaothr3</f>
        <v>#REF!</v>
      </c>
      <c r="GX2" s="284" t="str">
        <f>t5jjcpatot</f>
        <v>#REF!</v>
      </c>
      <c r="GY2" s="284" t="str">
        <f>t5othersal</f>
        <v>#REF!</v>
      </c>
      <c r="GZ2" s="284" t="str">
        <f>t5otherserv</f>
        <v>#REF!</v>
      </c>
      <c r="HA2" s="284" t="str">
        <f>t5otherprof</f>
        <v>#REF!</v>
      </c>
      <c r="HB2" s="284" t="str">
        <f>t5othercbo</f>
        <v>#REF!</v>
      </c>
      <c r="HC2" s="284" t="str">
        <f>t5otherequip</f>
        <v>#REF!</v>
      </c>
      <c r="HD2" s="284" t="str">
        <f>t5otheradmin</f>
        <v>#REF!</v>
      </c>
      <c r="HE2" s="284" t="str">
        <f>t5otherothr1</f>
        <v>#REF!</v>
      </c>
      <c r="HF2" s="284" t="str">
        <f>t5otherothr2</f>
        <v>#REF!</v>
      </c>
      <c r="HG2" s="284" t="str">
        <f>t5otherothr3</f>
        <v>#REF!</v>
      </c>
      <c r="HH2" s="284" t="str">
        <f>t5othertot</f>
        <v>#REF!</v>
      </c>
      <c r="HI2" s="281" t="str">
        <f>t5casecount</f>
        <v>#REF!</v>
      </c>
      <c r="HJ2" s="285" t="str">
        <f>t5yobgpercap</f>
        <v>#REF!</v>
      </c>
      <c r="HK2" s="285" t="str">
        <f>t5totpercap</f>
        <v>#REF!</v>
      </c>
      <c r="HL2" s="281" t="str">
        <f>t5youth1</f>
        <v>#REF!</v>
      </c>
      <c r="HM2" s="281" t="str">
        <f>t5youth2</f>
        <v>#REF!</v>
      </c>
      <c r="HN2" s="281" t="str">
        <f>t5youth3</f>
        <v>#REF!</v>
      </c>
      <c r="HO2" s="281" t="str">
        <f>t5youth4</f>
        <v>#REF!</v>
      </c>
      <c r="HP2" s="281" t="str">
        <f>t5youth5</f>
        <v>#REF!</v>
      </c>
      <c r="HQ2" s="281" t="str">
        <f>t5youth6</f>
        <v>#REF!</v>
      </c>
    </row>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dataValidation type="list" allowBlank="1" showDropDown="1" showErrorMessage="1" sqref="E2">
      <formula1>Address2</formula1>
    </dataValidation>
  </dataValidation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25" width="8.88"/>
  </cols>
  <sheetData>
    <row r="1" ht="12.75" customHeight="1">
      <c r="A1" s="69" t="s">
        <v>289</v>
      </c>
      <c r="B1" s="69" t="s">
        <v>514</v>
      </c>
      <c r="C1" s="69" t="s">
        <v>515</v>
      </c>
      <c r="D1" s="69" t="s">
        <v>516</v>
      </c>
      <c r="E1" s="69" t="s">
        <v>517</v>
      </c>
      <c r="F1" s="69" t="s">
        <v>518</v>
      </c>
      <c r="G1" s="69" t="s">
        <v>519</v>
      </c>
      <c r="H1" s="69" t="s">
        <v>520</v>
      </c>
      <c r="I1" s="69" t="s">
        <v>521</v>
      </c>
      <c r="J1" s="69" t="s">
        <v>522</v>
      </c>
      <c r="K1" s="69" t="s">
        <v>523</v>
      </c>
      <c r="L1" s="69" t="s">
        <v>524</v>
      </c>
      <c r="M1" s="69" t="s">
        <v>525</v>
      </c>
      <c r="N1" s="69" t="s">
        <v>526</v>
      </c>
      <c r="O1" s="69" t="s">
        <v>527</v>
      </c>
      <c r="P1" s="69" t="s">
        <v>528</v>
      </c>
      <c r="Q1" s="69" t="s">
        <v>529</v>
      </c>
      <c r="R1" s="69" t="s">
        <v>530</v>
      </c>
      <c r="S1" s="69" t="s">
        <v>531</v>
      </c>
      <c r="T1" s="69" t="s">
        <v>532</v>
      </c>
      <c r="U1" s="69" t="s">
        <v>533</v>
      </c>
      <c r="V1" s="69" t="s">
        <v>534</v>
      </c>
      <c r="W1" s="69" t="s">
        <v>535</v>
      </c>
      <c r="X1" s="69" t="s">
        <v>536</v>
      </c>
      <c r="Y1" s="69" t="s">
        <v>537</v>
      </c>
      <c r="Z1" s="69" t="s">
        <v>538</v>
      </c>
      <c r="AA1" s="69" t="s">
        <v>539</v>
      </c>
      <c r="AB1" s="69" t="s">
        <v>540</v>
      </c>
      <c r="AC1" s="69" t="s">
        <v>541</v>
      </c>
      <c r="AD1" s="69" t="s">
        <v>542</v>
      </c>
      <c r="AE1" s="69" t="s">
        <v>543</v>
      </c>
      <c r="AF1" s="69" t="s">
        <v>544</v>
      </c>
      <c r="AG1" s="69" t="s">
        <v>545</v>
      </c>
      <c r="AH1" s="69" t="s">
        <v>546</v>
      </c>
      <c r="AI1" s="69" t="s">
        <v>547</v>
      </c>
      <c r="AJ1" s="69" t="s">
        <v>548</v>
      </c>
      <c r="AK1" s="69" t="s">
        <v>549</v>
      </c>
      <c r="AL1" s="69" t="s">
        <v>550</v>
      </c>
      <c r="AM1" s="69" t="s">
        <v>551</v>
      </c>
      <c r="AN1" s="69" t="s">
        <v>552</v>
      </c>
      <c r="AO1" s="69" t="s">
        <v>553</v>
      </c>
      <c r="AP1" s="69" t="s">
        <v>554</v>
      </c>
      <c r="AQ1" s="69" t="s">
        <v>555</v>
      </c>
      <c r="AR1" s="69" t="s">
        <v>556</v>
      </c>
      <c r="AS1" s="69" t="s">
        <v>557</v>
      </c>
      <c r="AT1" s="69" t="s">
        <v>558</v>
      </c>
      <c r="AU1" s="69" t="s">
        <v>559</v>
      </c>
      <c r="AV1" s="69" t="s">
        <v>560</v>
      </c>
      <c r="AW1" s="69" t="s">
        <v>561</v>
      </c>
      <c r="AX1" s="69" t="s">
        <v>562</v>
      </c>
      <c r="AY1" s="69" t="s">
        <v>563</v>
      </c>
      <c r="AZ1" s="69" t="s">
        <v>564</v>
      </c>
      <c r="BA1" s="69" t="s">
        <v>565</v>
      </c>
      <c r="BB1" s="69" t="s">
        <v>566</v>
      </c>
      <c r="BC1" s="69" t="s">
        <v>567</v>
      </c>
      <c r="BD1" s="69" t="s">
        <v>568</v>
      </c>
      <c r="BE1" s="69" t="s">
        <v>569</v>
      </c>
      <c r="BF1" s="69" t="s">
        <v>570</v>
      </c>
      <c r="BG1" s="69" t="s">
        <v>571</v>
      </c>
      <c r="BH1" s="69" t="s">
        <v>572</v>
      </c>
      <c r="BI1" s="69" t="s">
        <v>573</v>
      </c>
      <c r="BJ1" s="69" t="s">
        <v>574</v>
      </c>
      <c r="BK1" s="69" t="s">
        <v>575</v>
      </c>
      <c r="BL1" s="69" t="s">
        <v>576</v>
      </c>
      <c r="BM1" s="69" t="s">
        <v>577</v>
      </c>
      <c r="BN1" s="69" t="s">
        <v>578</v>
      </c>
      <c r="BO1" s="69" t="s">
        <v>579</v>
      </c>
      <c r="BP1" s="69" t="s">
        <v>580</v>
      </c>
      <c r="BQ1" s="69" t="s">
        <v>581</v>
      </c>
      <c r="BR1" s="69" t="s">
        <v>582</v>
      </c>
      <c r="BS1" s="69" t="s">
        <v>583</v>
      </c>
      <c r="BT1" s="69" t="s">
        <v>584</v>
      </c>
      <c r="BU1" s="69" t="s">
        <v>585</v>
      </c>
      <c r="BV1" s="69" t="s">
        <v>586</v>
      </c>
      <c r="BW1" s="69" t="s">
        <v>587</v>
      </c>
      <c r="BX1" s="69" t="s">
        <v>588</v>
      </c>
      <c r="BY1" s="69" t="s">
        <v>589</v>
      </c>
      <c r="BZ1" s="69" t="s">
        <v>590</v>
      </c>
      <c r="CA1" s="69" t="s">
        <v>591</v>
      </c>
      <c r="CB1" s="69" t="s">
        <v>592</v>
      </c>
      <c r="CC1" s="69" t="s">
        <v>593</v>
      </c>
      <c r="CD1" s="69" t="s">
        <v>594</v>
      </c>
      <c r="CE1" s="69" t="s">
        <v>595</v>
      </c>
      <c r="CF1" s="69" t="s">
        <v>596</v>
      </c>
      <c r="CG1" s="69" t="s">
        <v>597</v>
      </c>
      <c r="CH1" s="69" t="s">
        <v>598</v>
      </c>
      <c r="CI1" s="69" t="s">
        <v>599</v>
      </c>
      <c r="CJ1" s="69" t="s">
        <v>600</v>
      </c>
      <c r="CK1" s="69" t="s">
        <v>601</v>
      </c>
      <c r="CL1" s="69" t="s">
        <v>602</v>
      </c>
      <c r="CM1" s="69" t="s">
        <v>603</v>
      </c>
      <c r="CN1" s="69" t="s">
        <v>604</v>
      </c>
      <c r="CO1" s="69" t="s">
        <v>605</v>
      </c>
      <c r="CP1" s="69" t="s">
        <v>606</v>
      </c>
      <c r="CQ1" s="69" t="s">
        <v>607</v>
      </c>
      <c r="CR1" s="69" t="s">
        <v>608</v>
      </c>
      <c r="CS1" s="69" t="s">
        <v>609</v>
      </c>
      <c r="CT1" s="69" t="s">
        <v>610</v>
      </c>
      <c r="CU1" s="69" t="s">
        <v>611</v>
      </c>
      <c r="CV1" s="69" t="s">
        <v>612</v>
      </c>
      <c r="CW1" s="69" t="s">
        <v>613</v>
      </c>
      <c r="CX1" s="69" t="s">
        <v>614</v>
      </c>
      <c r="CY1" s="69" t="s">
        <v>615</v>
      </c>
      <c r="CZ1" s="69" t="s">
        <v>616</v>
      </c>
      <c r="DA1" s="69" t="s">
        <v>617</v>
      </c>
      <c r="DB1" s="69" t="s">
        <v>618</v>
      </c>
      <c r="DC1" s="69" t="s">
        <v>619</v>
      </c>
      <c r="DD1" s="69" t="s">
        <v>620</v>
      </c>
      <c r="DE1" s="69" t="s">
        <v>621</v>
      </c>
      <c r="DF1" s="69" t="s">
        <v>622</v>
      </c>
      <c r="DG1" s="69" t="s">
        <v>623</v>
      </c>
      <c r="DH1" s="69" t="s">
        <v>624</v>
      </c>
      <c r="DI1" s="69" t="s">
        <v>625</v>
      </c>
      <c r="DJ1" s="69" t="s">
        <v>626</v>
      </c>
      <c r="DK1" s="69" t="s">
        <v>627</v>
      </c>
      <c r="DL1" s="69" t="s">
        <v>628</v>
      </c>
      <c r="DM1" s="69" t="s">
        <v>629</v>
      </c>
      <c r="DN1" s="69" t="s">
        <v>630</v>
      </c>
      <c r="DO1" s="69" t="s">
        <v>631</v>
      </c>
      <c r="DP1" s="69" t="s">
        <v>632</v>
      </c>
      <c r="DQ1" s="69" t="s">
        <v>633</v>
      </c>
      <c r="DR1" s="69" t="s">
        <v>634</v>
      </c>
      <c r="DS1" s="69" t="s">
        <v>635</v>
      </c>
      <c r="DT1" s="69" t="s">
        <v>636</v>
      </c>
      <c r="DU1" s="69" t="s">
        <v>637</v>
      </c>
      <c r="DV1" s="69" t="s">
        <v>638</v>
      </c>
      <c r="DW1" s="69" t="s">
        <v>639</v>
      </c>
      <c r="DX1" s="69" t="s">
        <v>640</v>
      </c>
      <c r="DY1" s="69" t="s">
        <v>641</v>
      </c>
      <c r="DZ1" s="69" t="s">
        <v>642</v>
      </c>
      <c r="EA1" s="69" t="s">
        <v>643</v>
      </c>
      <c r="EB1" s="69" t="s">
        <v>644</v>
      </c>
      <c r="EC1" s="69" t="s">
        <v>645</v>
      </c>
      <c r="ED1" s="69" t="s">
        <v>646</v>
      </c>
      <c r="EE1" s="69" t="s">
        <v>647</v>
      </c>
      <c r="EF1" s="69" t="s">
        <v>648</v>
      </c>
      <c r="EG1" s="69" t="s">
        <v>649</v>
      </c>
      <c r="EH1" s="69" t="s">
        <v>650</v>
      </c>
      <c r="EI1" s="69" t="s">
        <v>651</v>
      </c>
      <c r="EJ1" s="69" t="s">
        <v>652</v>
      </c>
      <c r="EK1" s="69" t="s">
        <v>653</v>
      </c>
      <c r="EL1" s="69" t="s">
        <v>654</v>
      </c>
      <c r="EM1" s="69" t="s">
        <v>655</v>
      </c>
      <c r="EN1" s="69" t="s">
        <v>656</v>
      </c>
      <c r="EO1" s="69" t="s">
        <v>657</v>
      </c>
      <c r="EP1" s="69" t="s">
        <v>658</v>
      </c>
      <c r="EQ1" s="69" t="s">
        <v>659</v>
      </c>
      <c r="ER1" s="69" t="s">
        <v>660</v>
      </c>
      <c r="ES1" s="69" t="s">
        <v>661</v>
      </c>
      <c r="ET1" s="69" t="s">
        <v>662</v>
      </c>
      <c r="EU1" s="69" t="s">
        <v>663</v>
      </c>
      <c r="EV1" s="69" t="s">
        <v>664</v>
      </c>
      <c r="EW1" s="69" t="s">
        <v>665</v>
      </c>
      <c r="EX1" s="69" t="s">
        <v>666</v>
      </c>
      <c r="EY1" s="69" t="s">
        <v>667</v>
      </c>
      <c r="EZ1" s="69" t="s">
        <v>668</v>
      </c>
      <c r="FA1" s="69" t="s">
        <v>669</v>
      </c>
      <c r="FB1" s="69" t="s">
        <v>670</v>
      </c>
      <c r="FC1" s="69" t="s">
        <v>671</v>
      </c>
      <c r="FD1" s="69" t="s">
        <v>672</v>
      </c>
      <c r="FE1" s="69" t="s">
        <v>673</v>
      </c>
      <c r="FF1" s="69" t="s">
        <v>674</v>
      </c>
      <c r="FG1" s="69" t="s">
        <v>675</v>
      </c>
      <c r="FH1" s="69" t="s">
        <v>676</v>
      </c>
      <c r="FI1" s="69" t="s">
        <v>677</v>
      </c>
      <c r="FJ1" s="69" t="s">
        <v>678</v>
      </c>
      <c r="FK1" s="69" t="s">
        <v>679</v>
      </c>
      <c r="FL1" s="69" t="s">
        <v>680</v>
      </c>
      <c r="FM1" s="69" t="s">
        <v>681</v>
      </c>
      <c r="FN1" s="69" t="s">
        <v>682</v>
      </c>
      <c r="FO1" s="69" t="s">
        <v>683</v>
      </c>
      <c r="FP1" s="69" t="s">
        <v>684</v>
      </c>
      <c r="FQ1" s="69" t="s">
        <v>685</v>
      </c>
      <c r="FR1" s="69" t="s">
        <v>686</v>
      </c>
      <c r="FS1" s="69" t="s">
        <v>687</v>
      </c>
      <c r="FT1" s="69" t="s">
        <v>688</v>
      </c>
      <c r="FU1" s="69" t="s">
        <v>689</v>
      </c>
      <c r="FV1" s="69" t="s">
        <v>690</v>
      </c>
      <c r="FW1" s="69" t="s">
        <v>691</v>
      </c>
      <c r="FX1" s="69" t="s">
        <v>692</v>
      </c>
      <c r="FY1" s="69" t="s">
        <v>693</v>
      </c>
      <c r="FZ1" s="69" t="s">
        <v>694</v>
      </c>
      <c r="GA1" s="69" t="s">
        <v>695</v>
      </c>
      <c r="GB1" s="69" t="s">
        <v>696</v>
      </c>
      <c r="GC1" s="69" t="s">
        <v>697</v>
      </c>
      <c r="GD1" s="69" t="s">
        <v>698</v>
      </c>
      <c r="GE1" s="69" t="s">
        <v>699</v>
      </c>
      <c r="GF1" s="69" t="s">
        <v>700</v>
      </c>
      <c r="GG1" s="69" t="s">
        <v>701</v>
      </c>
      <c r="GH1" s="69" t="s">
        <v>702</v>
      </c>
      <c r="GI1" s="69" t="s">
        <v>703</v>
      </c>
      <c r="GJ1" s="69" t="s">
        <v>704</v>
      </c>
      <c r="GK1" s="69" t="s">
        <v>705</v>
      </c>
      <c r="GL1" s="69" t="s">
        <v>706</v>
      </c>
      <c r="GM1" s="69" t="s">
        <v>707</v>
      </c>
      <c r="GN1" s="69" t="s">
        <v>708</v>
      </c>
      <c r="GO1" s="69" t="s">
        <v>709</v>
      </c>
      <c r="GP1" s="69" t="s">
        <v>710</v>
      </c>
      <c r="GQ1" s="69" t="s">
        <v>711</v>
      </c>
      <c r="GR1" s="69" t="s">
        <v>712</v>
      </c>
      <c r="GS1" s="69" t="s">
        <v>713</v>
      </c>
      <c r="GT1" s="69" t="s">
        <v>714</v>
      </c>
      <c r="GU1" s="69" t="s">
        <v>715</v>
      </c>
      <c r="GV1" s="69" t="s">
        <v>716</v>
      </c>
      <c r="GW1" s="69" t="s">
        <v>717</v>
      </c>
      <c r="GX1" s="69" t="s">
        <v>718</v>
      </c>
      <c r="GY1" s="69" t="s">
        <v>719</v>
      </c>
      <c r="GZ1" s="69" t="s">
        <v>253</v>
      </c>
      <c r="HA1" s="69" t="s">
        <v>720</v>
      </c>
      <c r="HB1" s="69" t="s">
        <v>721</v>
      </c>
      <c r="HC1" s="69" t="s">
        <v>722</v>
      </c>
      <c r="HD1" s="69" t="s">
        <v>723</v>
      </c>
      <c r="HE1" s="69" t="s">
        <v>724</v>
      </c>
      <c r="HF1" s="69" t="s">
        <v>725</v>
      </c>
      <c r="HG1" s="69" t="s">
        <v>726</v>
      </c>
      <c r="HH1" s="69" t="s">
        <v>727</v>
      </c>
      <c r="HI1" s="69" t="s">
        <v>728</v>
      </c>
      <c r="HJ1" s="69" t="s">
        <v>729</v>
      </c>
      <c r="HK1" s="69" t="s">
        <v>730</v>
      </c>
      <c r="HL1" s="69" t="s">
        <v>731</v>
      </c>
      <c r="HM1" s="69" t="s">
        <v>732</v>
      </c>
      <c r="HN1" s="69" t="s">
        <v>733</v>
      </c>
      <c r="HO1" s="69" t="s">
        <v>734</v>
      </c>
      <c r="HP1" s="69" t="s">
        <v>735</v>
      </c>
      <c r="HQ1" s="69" t="s">
        <v>736</v>
      </c>
    </row>
    <row r="2" ht="12.75" customHeight="1">
      <c r="A2" s="28" t="str">
        <f>County</f>
        <v>Amador</v>
      </c>
      <c r="B2" s="69" t="str">
        <f>Numecodet6</f>
        <v>#REF!</v>
      </c>
      <c r="C2" s="69" t="str">
        <f>Numealtt6</f>
        <v>#REF!</v>
      </c>
      <c r="D2" s="284" t="str">
        <f>t6yobgsal</f>
        <v>#REF!</v>
      </c>
      <c r="E2" s="284" t="str">
        <f>t6yobgserv</f>
        <v>#REF!</v>
      </c>
      <c r="F2" s="284" t="str">
        <f>t6yobgprof</f>
        <v>#REF!</v>
      </c>
      <c r="G2" s="284" t="str">
        <f>t6yobgcbo</f>
        <v>#REF!</v>
      </c>
      <c r="H2" s="284" t="str">
        <f>t6yobgequip</f>
        <v>#REF!</v>
      </c>
      <c r="I2" s="284" t="str">
        <f>t6yobgadmin</f>
        <v>#REF!</v>
      </c>
      <c r="J2" s="284" t="str">
        <f>t6yobgothr1</f>
        <v>#REF!</v>
      </c>
      <c r="K2" s="284" t="str">
        <f>t6yobgothr2</f>
        <v>#REF!</v>
      </c>
      <c r="L2" s="284" t="str">
        <f>t6yobgothr3</f>
        <v>#REF!</v>
      </c>
      <c r="M2" s="284" t="str">
        <f>t6yobgtot</f>
        <v>#REF!</v>
      </c>
      <c r="N2" s="284" t="str">
        <f>t6jjcpasal</f>
        <v>#REF!</v>
      </c>
      <c r="O2" s="284" t="str">
        <f>t6jjcpaserv</f>
        <v>#REF!</v>
      </c>
      <c r="P2" s="284" t="str">
        <f>t6jjcpaprof</f>
        <v>#REF!</v>
      </c>
      <c r="Q2" s="284" t="str">
        <f>t6jjcpacbo</f>
        <v>#REF!</v>
      </c>
      <c r="R2" s="284" t="str">
        <f>t6jjcpaequip</f>
        <v>#REF!</v>
      </c>
      <c r="S2" s="284" t="str">
        <f>t6jjcpaadmin</f>
        <v>#REF!</v>
      </c>
      <c r="T2" s="284" t="str">
        <f>t6jjcpaothr1</f>
        <v>#REF!</v>
      </c>
      <c r="U2" s="284" t="str">
        <f>t6jjcpaothr2</f>
        <v>#REF!</v>
      </c>
      <c r="V2" s="284" t="str">
        <f>t6jjcpaothr3</f>
        <v>#REF!</v>
      </c>
      <c r="W2" s="284" t="str">
        <f>t6jjcpatot</f>
        <v>#REF!</v>
      </c>
      <c r="X2" s="284" t="str">
        <f>t6othersal</f>
        <v>#REF!</v>
      </c>
      <c r="Y2" s="284" t="str">
        <f>t6otherserv</f>
        <v>#REF!</v>
      </c>
      <c r="Z2" s="284" t="str">
        <f>t6otherprof</f>
        <v>#REF!</v>
      </c>
      <c r="AA2" s="284" t="str">
        <f>t6othercbo</f>
        <v>#REF!</v>
      </c>
      <c r="AB2" s="284" t="str">
        <f>t6otherequip</f>
        <v>#REF!</v>
      </c>
      <c r="AC2" s="284" t="str">
        <f>t6otheradmin</f>
        <v>#REF!</v>
      </c>
      <c r="AD2" s="284" t="str">
        <f>t6otherothr1</f>
        <v>#REF!</v>
      </c>
      <c r="AE2" s="284" t="str">
        <f>t6otherothr2</f>
        <v>#REF!</v>
      </c>
      <c r="AF2" s="284" t="str">
        <f>t6otherothr3</f>
        <v>#REF!</v>
      </c>
      <c r="AG2" s="284" t="str">
        <f>t6othertot</f>
        <v>#REF!</v>
      </c>
      <c r="AH2" s="281" t="str">
        <f>t6casecount</f>
        <v>#REF!</v>
      </c>
      <c r="AI2" s="285" t="str">
        <f>t6yobgpercap</f>
        <v>#REF!</v>
      </c>
      <c r="AJ2" s="285" t="str">
        <f>t6totpercap</f>
        <v>#REF!</v>
      </c>
      <c r="AK2" s="281" t="str">
        <f>t6youth1</f>
        <v>#REF!</v>
      </c>
      <c r="AL2" s="281" t="str">
        <f>t6youth2</f>
        <v>#REF!</v>
      </c>
      <c r="AM2" s="281" t="str">
        <f>t6youth3</f>
        <v>#REF!</v>
      </c>
      <c r="AN2" s="281" t="str">
        <f>t6youth4</f>
        <v>#REF!</v>
      </c>
      <c r="AO2" s="281" t="str">
        <f>t6youth5</f>
        <v>#REF!</v>
      </c>
      <c r="AP2" s="281" t="str">
        <f>t6youth6</f>
        <v>#REF!</v>
      </c>
      <c r="AQ2" s="69" t="str">
        <f>Numecodet7</f>
        <v>#REF!</v>
      </c>
      <c r="AR2" s="69" t="str">
        <f>Numealtt7</f>
        <v>#REF!</v>
      </c>
      <c r="AS2" s="284" t="str">
        <f>t7yobgsal</f>
        <v>#REF!</v>
      </c>
      <c r="AT2" s="284" t="str">
        <f>t7yobgserv</f>
        <v>#REF!</v>
      </c>
      <c r="AU2" s="284" t="str">
        <f>t7yobgprof</f>
        <v>#REF!</v>
      </c>
      <c r="AV2" s="284" t="str">
        <f>t7yobgcbo</f>
        <v>#REF!</v>
      </c>
      <c r="AW2" s="284" t="str">
        <f>t7yobgequip</f>
        <v>#REF!</v>
      </c>
      <c r="AX2" s="284" t="str">
        <f>t7yobgadmin</f>
        <v>#REF!</v>
      </c>
      <c r="AY2" s="284" t="str">
        <f>t7yobgothr1</f>
        <v>#REF!</v>
      </c>
      <c r="AZ2" s="284" t="str">
        <f>t7yobgothr2</f>
        <v>#REF!</v>
      </c>
      <c r="BA2" s="284" t="str">
        <f>t7yobgothr3</f>
        <v>#REF!</v>
      </c>
      <c r="BB2" s="284" t="str">
        <f>t7yobgtot</f>
        <v>#REF!</v>
      </c>
      <c r="BC2" s="284" t="str">
        <f>t7jjcpasal</f>
        <v>#REF!</v>
      </c>
      <c r="BD2" s="284" t="str">
        <f>t7jjcpaserv</f>
        <v>#REF!</v>
      </c>
      <c r="BE2" s="284" t="str">
        <f>t7jjcpaprof</f>
        <v>#REF!</v>
      </c>
      <c r="BF2" s="284" t="str">
        <f>t7jjcpacbo</f>
        <v>#REF!</v>
      </c>
      <c r="BG2" s="284" t="str">
        <f>t7jjcpaequip</f>
        <v>#REF!</v>
      </c>
      <c r="BH2" s="284" t="str">
        <f>t7jjcpaadmin</f>
        <v>#REF!</v>
      </c>
      <c r="BI2" s="284" t="str">
        <f>t7jjcpaothr1</f>
        <v>#REF!</v>
      </c>
      <c r="BJ2" s="284" t="str">
        <f>t7jjcpaothr2</f>
        <v>#REF!</v>
      </c>
      <c r="BK2" s="284" t="str">
        <f>t7jjcpaothr3</f>
        <v>#REF!</v>
      </c>
      <c r="BL2" s="284" t="str">
        <f>t7jjcpatot</f>
        <v>#REF!</v>
      </c>
      <c r="BM2" s="284" t="str">
        <f>t7othersal</f>
        <v>#REF!</v>
      </c>
      <c r="BN2" s="284" t="str">
        <f>t7otherserv</f>
        <v>#REF!</v>
      </c>
      <c r="BO2" s="284" t="str">
        <f>t7otherprof</f>
        <v>#REF!</v>
      </c>
      <c r="BP2" s="284" t="str">
        <f>t7othercbo</f>
        <v>#REF!</v>
      </c>
      <c r="BQ2" s="284" t="str">
        <f>t7otherequip</f>
        <v>#REF!</v>
      </c>
      <c r="BR2" s="284" t="str">
        <f>t7otheradmin</f>
        <v>#REF!</v>
      </c>
      <c r="BS2" s="284" t="str">
        <f>t7otherothr1</f>
        <v>#REF!</v>
      </c>
      <c r="BT2" s="284" t="str">
        <f>t7otherothr2</f>
        <v>#REF!</v>
      </c>
      <c r="BU2" s="284" t="str">
        <f>t7otherothr3</f>
        <v>#REF!</v>
      </c>
      <c r="BV2" s="284" t="str">
        <f>t7othertot</f>
        <v>#REF!</v>
      </c>
      <c r="BW2" s="281" t="str">
        <f>t7casecount</f>
        <v>#REF!</v>
      </c>
      <c r="BX2" s="285" t="str">
        <f>t7yobgpercap</f>
        <v>#REF!</v>
      </c>
      <c r="BY2" s="285" t="str">
        <f>t7totpercap</f>
        <v>#REF!</v>
      </c>
      <c r="BZ2" s="281" t="str">
        <f>t7youth1</f>
        <v>#REF!</v>
      </c>
      <c r="CA2" s="281" t="str">
        <f>t7youth2</f>
        <v>#REF!</v>
      </c>
      <c r="CB2" s="281" t="str">
        <f>t7youth3</f>
        <v>#REF!</v>
      </c>
      <c r="CC2" s="281" t="str">
        <f>t7youth4</f>
        <v>#REF!</v>
      </c>
      <c r="CD2" s="281" t="str">
        <f>t7youth5</f>
        <v>#REF!</v>
      </c>
      <c r="CE2" s="281" t="str">
        <f>t7youth6</f>
        <v>#REF!</v>
      </c>
      <c r="CF2" s="69" t="str">
        <f>Numecodet8</f>
        <v>#REF!</v>
      </c>
      <c r="CG2" s="69" t="str">
        <f>Numealtt8</f>
        <v>#REF!</v>
      </c>
      <c r="CH2" s="284" t="str">
        <f>t8yobgsal</f>
        <v>#REF!</v>
      </c>
      <c r="CI2" s="284" t="str">
        <f>t8yobgserv</f>
        <v>#REF!</v>
      </c>
      <c r="CJ2" s="284" t="str">
        <f>t8yobgprof</f>
        <v>#REF!</v>
      </c>
      <c r="CK2" s="284" t="str">
        <f>t8yobgcbo</f>
        <v>#REF!</v>
      </c>
      <c r="CL2" s="284" t="str">
        <f>t8yobgequip</f>
        <v>#REF!</v>
      </c>
      <c r="CM2" s="284" t="str">
        <f>t8yobgadmin</f>
        <v>#REF!</v>
      </c>
      <c r="CN2" s="284" t="str">
        <f>t8yobgothr1</f>
        <v>#REF!</v>
      </c>
      <c r="CO2" s="284" t="str">
        <f>t8yobgothr2</f>
        <v>#REF!</v>
      </c>
      <c r="CP2" s="284" t="str">
        <f>t8yobgothr3</f>
        <v>#REF!</v>
      </c>
      <c r="CQ2" s="284" t="str">
        <f>t8yobgtot</f>
        <v>#REF!</v>
      </c>
      <c r="CR2" s="284" t="str">
        <f>t8jjcpasal</f>
        <v>#REF!</v>
      </c>
      <c r="CS2" s="284" t="str">
        <f>t8jjcpaserv</f>
        <v>#REF!</v>
      </c>
      <c r="CT2" s="284" t="str">
        <f>t8jjcpaprof</f>
        <v>#REF!</v>
      </c>
      <c r="CU2" s="284" t="str">
        <f>t8jjcpacbo</f>
        <v>#REF!</v>
      </c>
      <c r="CV2" s="284" t="str">
        <f>t8jjcpaequip</f>
        <v>#REF!</v>
      </c>
      <c r="CW2" s="284" t="str">
        <f>t8jjcpaadmin</f>
        <v>#REF!</v>
      </c>
      <c r="CX2" s="284" t="str">
        <f>t8jjcpaothr1</f>
        <v>#REF!</v>
      </c>
      <c r="CY2" s="284" t="str">
        <f>t8jjcpaothr2</f>
        <v>#REF!</v>
      </c>
      <c r="CZ2" s="284" t="str">
        <f>t8jjcpaothr3</f>
        <v>#REF!</v>
      </c>
      <c r="DA2" s="284" t="str">
        <f>t8jjcpatot</f>
        <v>#REF!</v>
      </c>
      <c r="DB2" s="284" t="str">
        <f>t8othersal</f>
        <v>#REF!</v>
      </c>
      <c r="DC2" s="284" t="str">
        <f>t8otherserv</f>
        <v>#REF!</v>
      </c>
      <c r="DD2" s="284" t="str">
        <f>t8otherprof</f>
        <v>#REF!</v>
      </c>
      <c r="DE2" s="284" t="str">
        <f>t8othercbo</f>
        <v>#REF!</v>
      </c>
      <c r="DF2" s="284" t="str">
        <f>t8otherequip</f>
        <v>#REF!</v>
      </c>
      <c r="DG2" s="284" t="str">
        <f>t8otheradmin</f>
        <v>#REF!</v>
      </c>
      <c r="DH2" s="284" t="str">
        <f>t8otherothr1</f>
        <v>#REF!</v>
      </c>
      <c r="DI2" s="284" t="str">
        <f>t8otherothr2</f>
        <v>#REF!</v>
      </c>
      <c r="DJ2" s="284" t="str">
        <f>t8otherothr3</f>
        <v>#REF!</v>
      </c>
      <c r="DK2" s="284" t="str">
        <f>t8othertot</f>
        <v>#REF!</v>
      </c>
      <c r="DL2" s="281" t="str">
        <f>t8casecount</f>
        <v>#REF!</v>
      </c>
      <c r="DM2" s="285" t="str">
        <f>t8yobgpercap</f>
        <v>#REF!</v>
      </c>
      <c r="DN2" s="285" t="str">
        <f>t8totpercap</f>
        <v>#REF!</v>
      </c>
      <c r="DO2" s="281" t="str">
        <f>t8youth1</f>
        <v>#REF!</v>
      </c>
      <c r="DP2" s="281" t="str">
        <f>t8youth2</f>
        <v>#REF!</v>
      </c>
      <c r="DQ2" s="281" t="str">
        <f>t8youth3</f>
        <v>#REF!</v>
      </c>
      <c r="DR2" s="281" t="str">
        <f>t8youth4</f>
        <v>#REF!</v>
      </c>
      <c r="DS2" s="281" t="str">
        <f>t8youth5</f>
        <v>#REF!</v>
      </c>
      <c r="DT2" s="281" t="str">
        <f>t8youth6</f>
        <v>#REF!</v>
      </c>
      <c r="DU2" s="69" t="str">
        <f>Numecodet9</f>
        <v>#REF!</v>
      </c>
      <c r="DV2" s="69" t="str">
        <f>Numealtt9</f>
        <v>#REF!</v>
      </c>
      <c r="DW2" s="284" t="str">
        <f>t9yobgsal</f>
        <v>#REF!</v>
      </c>
      <c r="DX2" s="284" t="str">
        <f>t9yobgserv</f>
        <v>#REF!</v>
      </c>
      <c r="DY2" s="284" t="str">
        <f>t9yobgprof</f>
        <v>#REF!</v>
      </c>
      <c r="DZ2" s="284" t="str">
        <f>t9yobgcbo</f>
        <v>#REF!</v>
      </c>
      <c r="EA2" s="284" t="str">
        <f>t9yobgequip</f>
        <v>#REF!</v>
      </c>
      <c r="EB2" s="284" t="str">
        <f>t9yobgadmin</f>
        <v>#REF!</v>
      </c>
      <c r="EC2" s="284" t="str">
        <f>t9yobgothr1</f>
        <v>#REF!</v>
      </c>
      <c r="ED2" s="284" t="str">
        <f>t9yobgothr2</f>
        <v>#REF!</v>
      </c>
      <c r="EE2" s="284" t="str">
        <f>t9yobgothr3</f>
        <v>#REF!</v>
      </c>
      <c r="EF2" s="284" t="str">
        <f>t9yobgtot</f>
        <v>#REF!</v>
      </c>
      <c r="EG2" s="284" t="str">
        <f>t9jjcpasal</f>
        <v>#REF!</v>
      </c>
      <c r="EH2" s="284" t="str">
        <f>t9jjcpaserv</f>
        <v>#REF!</v>
      </c>
      <c r="EI2" s="284" t="str">
        <f>t9jjcpaprof</f>
        <v>#REF!</v>
      </c>
      <c r="EJ2" s="284" t="str">
        <f>t9jjcpacbo</f>
        <v>#REF!</v>
      </c>
      <c r="EK2" s="284" t="str">
        <f>t9jjcpaequip</f>
        <v>#REF!</v>
      </c>
      <c r="EL2" s="284" t="str">
        <f>t9jjcpaadmin</f>
        <v>#REF!</v>
      </c>
      <c r="EM2" s="284" t="str">
        <f>t9jjcpaothr1</f>
        <v>#REF!</v>
      </c>
      <c r="EN2" s="284" t="str">
        <f>t9jjcpaothr2</f>
        <v>#REF!</v>
      </c>
      <c r="EO2" s="284" t="str">
        <f>t9jjcpaothr3</f>
        <v>#REF!</v>
      </c>
      <c r="EP2" s="284" t="str">
        <f>t9jjcpatot</f>
        <v>#REF!</v>
      </c>
      <c r="EQ2" s="284" t="str">
        <f>t9othersal</f>
        <v>#REF!</v>
      </c>
      <c r="ER2" s="284" t="str">
        <f>t9otherserv</f>
        <v>#REF!</v>
      </c>
      <c r="ES2" s="284" t="str">
        <f>t9otherprof</f>
        <v>#REF!</v>
      </c>
      <c r="ET2" s="284" t="str">
        <f>t9othercbo</f>
        <v>#REF!</v>
      </c>
      <c r="EU2" s="284" t="str">
        <f>t9otherequip</f>
        <v>#REF!</v>
      </c>
      <c r="EV2" s="284" t="str">
        <f>t9otheradmin</f>
        <v>#REF!</v>
      </c>
      <c r="EW2" s="284" t="str">
        <f>t9otherothr1</f>
        <v>#REF!</v>
      </c>
      <c r="EX2" s="284" t="str">
        <f>t9otherothr2</f>
        <v>#REF!</v>
      </c>
      <c r="EY2" s="284" t="str">
        <f>t9otherothr3</f>
        <v>#REF!</v>
      </c>
      <c r="EZ2" s="284" t="str">
        <f>t9othertot</f>
        <v>#REF!</v>
      </c>
      <c r="FA2" s="281" t="str">
        <f>t9casecount</f>
        <v>#REF!</v>
      </c>
      <c r="FB2" s="285" t="str">
        <f>t9yobgpercap</f>
        <v>#REF!</v>
      </c>
      <c r="FC2" s="285" t="str">
        <f>t9totpercap</f>
        <v>#REF!</v>
      </c>
      <c r="FD2" s="281" t="str">
        <f>t9youth1</f>
        <v>#REF!</v>
      </c>
      <c r="FE2" s="281" t="str">
        <f>t9youth2</f>
        <v>#REF!</v>
      </c>
      <c r="FF2" s="281" t="str">
        <f>t9youth3</f>
        <v>#REF!</v>
      </c>
      <c r="FG2" s="281" t="str">
        <f>t9youth4</f>
        <v>#REF!</v>
      </c>
      <c r="FH2" s="281" t="str">
        <f>t9youth5</f>
        <v>#REF!</v>
      </c>
      <c r="FI2" s="281" t="str">
        <f>t9youth6</f>
        <v>#REF!</v>
      </c>
      <c r="FJ2" s="69" t="str">
        <f>Numecodet10</f>
        <v>#REF!</v>
      </c>
      <c r="FK2" s="69" t="str">
        <f>Numealtt10</f>
        <v>#REF!</v>
      </c>
      <c r="FL2" s="284" t="str">
        <f>t10yobgsal</f>
        <v>#REF!</v>
      </c>
      <c r="FM2" s="284" t="str">
        <f>t10yobgserv</f>
        <v>#REF!</v>
      </c>
      <c r="FN2" s="284" t="str">
        <f>t10yobgprof</f>
        <v>#REF!</v>
      </c>
      <c r="FO2" s="284" t="str">
        <f>t10yobgcbo</f>
        <v>#REF!</v>
      </c>
      <c r="FP2" s="284" t="str">
        <f>t10yobgequip</f>
        <v>#REF!</v>
      </c>
      <c r="FQ2" s="284" t="str">
        <f>t10yobgadmin</f>
        <v>#REF!</v>
      </c>
      <c r="FR2" s="284" t="str">
        <f>t10yobgothr1</f>
        <v>#REF!</v>
      </c>
      <c r="FS2" s="284" t="str">
        <f>t10yobgothr2</f>
        <v>#REF!</v>
      </c>
      <c r="FT2" s="284" t="str">
        <f>t10yobgothr3</f>
        <v>#REF!</v>
      </c>
      <c r="FU2" s="284" t="str">
        <f>t10yobgtot</f>
        <v>#REF!</v>
      </c>
      <c r="FV2" s="284" t="str">
        <f>t10jjcpasal</f>
        <v>#REF!</v>
      </c>
      <c r="FW2" s="284" t="str">
        <f>t10jjcpaserv</f>
        <v>#REF!</v>
      </c>
      <c r="FX2" s="284" t="str">
        <f>t10jjcpaprof</f>
        <v>#REF!</v>
      </c>
      <c r="FY2" s="284" t="str">
        <f>t10jjcpacbo</f>
        <v>#REF!</v>
      </c>
      <c r="FZ2" s="284" t="str">
        <f>t10jjcpaequip</f>
        <v>#REF!</v>
      </c>
      <c r="GA2" s="284" t="str">
        <f>t10jjcpaadmin</f>
        <v>#REF!</v>
      </c>
      <c r="GB2" s="284" t="str">
        <f>t10jjcpaothr1</f>
        <v>#REF!</v>
      </c>
      <c r="GC2" s="284" t="str">
        <f>t10jjcpaothr2</f>
        <v>#REF!</v>
      </c>
      <c r="GD2" s="284" t="str">
        <f>t10jjcpaothr3</f>
        <v>#REF!</v>
      </c>
      <c r="GE2" s="284" t="str">
        <f>t10jjcpatot</f>
        <v>#REF!</v>
      </c>
      <c r="GF2" s="284" t="str">
        <f>t10othersal</f>
        <v>#REF!</v>
      </c>
      <c r="GG2" s="284" t="str">
        <f>t10otherserv</f>
        <v>#REF!</v>
      </c>
      <c r="GH2" s="284" t="str">
        <f>t10otherprof</f>
        <v>#REF!</v>
      </c>
      <c r="GI2" s="284" t="str">
        <f>t10othercbo</f>
        <v>#REF!</v>
      </c>
      <c r="GJ2" s="284" t="str">
        <f>t10otherequip</f>
        <v>#REF!</v>
      </c>
      <c r="GK2" s="284" t="str">
        <f>t10otheradmin</f>
        <v>#REF!</v>
      </c>
      <c r="GL2" s="284" t="str">
        <f>t10otherothr1</f>
        <v>#REF!</v>
      </c>
      <c r="GM2" s="284" t="str">
        <f>t10otherothr2</f>
        <v>#REF!</v>
      </c>
      <c r="GN2" s="284" t="str">
        <f>t10otherothr3</f>
        <v>#REF!</v>
      </c>
      <c r="GO2" s="284" t="str">
        <f>t10othertot</f>
        <v>#REF!</v>
      </c>
      <c r="GP2" s="281" t="str">
        <f>t10casecount</f>
        <v>#REF!</v>
      </c>
      <c r="GQ2" s="285" t="str">
        <f>t10yobgpercap</f>
        <v>#REF!</v>
      </c>
      <c r="GR2" s="285" t="str">
        <f>t10totpercap</f>
        <v>#REF!</v>
      </c>
      <c r="GS2" s="281" t="str">
        <f>t10youth1</f>
        <v>#REF!</v>
      </c>
      <c r="GT2" s="281" t="str">
        <f>t10youth2</f>
        <v>#REF!</v>
      </c>
      <c r="GU2" s="281" t="str">
        <f>t10youth3</f>
        <v>#REF!</v>
      </c>
      <c r="GV2" s="281" t="str">
        <f>t10youth4</f>
        <v>#REF!</v>
      </c>
      <c r="GW2" s="281" t="str">
        <f>t10youth5</f>
        <v>#REF!</v>
      </c>
      <c r="GX2" s="281" t="str">
        <f>t10youth6</f>
        <v>#REF!</v>
      </c>
      <c r="GY2" s="281" t="str">
        <f>asi</f>
        <v/>
      </c>
      <c r="GZ2" s="281" t="str">
        <f>bot</f>
        <v/>
      </c>
      <c r="HA2" s="281" t="str">
        <f>COMPAS</f>
        <v/>
      </c>
      <c r="HB2" s="281" t="str">
        <f>JAIS</f>
        <v/>
      </c>
      <c r="HC2" s="281" t="str">
        <f>LSIR</f>
        <v/>
      </c>
      <c r="HD2" s="281" t="str">
        <f>MAYSI2</f>
        <v/>
      </c>
      <c r="HE2" s="281" t="str">
        <f>MAYSI</f>
        <v/>
      </c>
      <c r="HF2" s="281" t="str">
        <f>NIC</f>
        <v/>
      </c>
      <c r="HG2" s="281" t="str">
        <f>PACT</f>
        <v/>
      </c>
      <c r="HH2" s="281" t="str">
        <f>RRC</f>
        <v/>
      </c>
      <c r="HI2" s="281" t="str">
        <f>YLSCMI</f>
        <v/>
      </c>
      <c r="HJ2" s="281" t="str">
        <f>othrassessmentname1</f>
        <v/>
      </c>
      <c r="HK2" s="281" t="str">
        <f>othrassess1</f>
        <v/>
      </c>
      <c r="HL2" s="281" t="str">
        <f>othrassessmentname2</f>
        <v/>
      </c>
      <c r="HM2" s="281" t="str">
        <f>othrassess2</f>
        <v/>
      </c>
      <c r="HN2" s="281" t="str">
        <f>othrassessmentname3</f>
        <v/>
      </c>
      <c r="HO2" s="281" t="str">
        <f>othrassess3</f>
        <v/>
      </c>
      <c r="HP2" s="281" t="str">
        <f>othrassessmentname4</f>
        <v/>
      </c>
      <c r="HQ2" s="281" t="str">
        <f>othrassess4</f>
        <v/>
      </c>
    </row>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10" width="8.88"/>
  </cols>
  <sheetData>
    <row r="1" ht="12.75" customHeight="1">
      <c r="A1" s="69" t="s">
        <v>289</v>
      </c>
      <c r="B1" s="69" t="s">
        <v>737</v>
      </c>
      <c r="C1" s="69" t="s">
        <v>738</v>
      </c>
      <c r="D1" s="69" t="s">
        <v>739</v>
      </c>
      <c r="E1" s="69" t="s">
        <v>740</v>
      </c>
      <c r="F1" s="69" t="s">
        <v>741</v>
      </c>
      <c r="G1" s="69" t="s">
        <v>742</v>
      </c>
      <c r="H1" s="69" t="s">
        <v>743</v>
      </c>
      <c r="I1" s="69" t="s">
        <v>744</v>
      </c>
      <c r="J1" s="69" t="s">
        <v>309</v>
      </c>
      <c r="K1" s="69" t="s">
        <v>310</v>
      </c>
      <c r="L1" s="69" t="s">
        <v>745</v>
      </c>
      <c r="M1" s="69" t="s">
        <v>746</v>
      </c>
      <c r="N1" s="69" t="s">
        <v>341</v>
      </c>
      <c r="O1" s="69" t="s">
        <v>342</v>
      </c>
      <c r="P1" s="69" t="s">
        <v>343</v>
      </c>
      <c r="Q1" s="69" t="s">
        <v>747</v>
      </c>
      <c r="R1" s="69" t="s">
        <v>748</v>
      </c>
      <c r="S1" s="69" t="s">
        <v>749</v>
      </c>
      <c r="T1" s="69" t="s">
        <v>750</v>
      </c>
      <c r="U1" s="69" t="s">
        <v>751</v>
      </c>
      <c r="V1" s="69" t="s">
        <v>752</v>
      </c>
      <c r="W1" s="69" t="s">
        <v>753</v>
      </c>
      <c r="X1" s="69" t="s">
        <v>350</v>
      </c>
      <c r="Y1" s="69" t="s">
        <v>351</v>
      </c>
      <c r="Z1" s="69" t="s">
        <v>754</v>
      </c>
      <c r="AA1" s="69" t="s">
        <v>755</v>
      </c>
      <c r="AB1" s="69" t="s">
        <v>382</v>
      </c>
      <c r="AC1" s="69" t="s">
        <v>383</v>
      </c>
      <c r="AD1" s="69" t="s">
        <v>384</v>
      </c>
      <c r="AE1" s="69" t="s">
        <v>756</v>
      </c>
      <c r="AF1" s="69" t="s">
        <v>757</v>
      </c>
      <c r="AG1" s="69" t="s">
        <v>758</v>
      </c>
      <c r="AH1" s="69" t="s">
        <v>759</v>
      </c>
      <c r="AI1" s="69" t="s">
        <v>760</v>
      </c>
      <c r="AJ1" s="69" t="s">
        <v>761</v>
      </c>
      <c r="AK1" s="69" t="s">
        <v>762</v>
      </c>
      <c r="AL1" s="69" t="s">
        <v>391</v>
      </c>
      <c r="AM1" s="69" t="s">
        <v>392</v>
      </c>
      <c r="AN1" s="69" t="s">
        <v>763</v>
      </c>
      <c r="AO1" s="69" t="s">
        <v>764</v>
      </c>
      <c r="AP1" s="69" t="s">
        <v>423</v>
      </c>
      <c r="AQ1" s="69" t="s">
        <v>424</v>
      </c>
      <c r="AR1" s="69" t="s">
        <v>425</v>
      </c>
      <c r="AS1" s="69" t="s">
        <v>765</v>
      </c>
      <c r="AT1" s="69" t="s">
        <v>766</v>
      </c>
      <c r="AU1" s="69" t="s">
        <v>767</v>
      </c>
      <c r="AV1" s="69" t="s">
        <v>768</v>
      </c>
      <c r="AW1" s="69" t="s">
        <v>769</v>
      </c>
      <c r="AX1" s="69" t="s">
        <v>770</v>
      </c>
      <c r="AY1" s="69" t="s">
        <v>771</v>
      </c>
      <c r="AZ1" s="69" t="s">
        <v>432</v>
      </c>
      <c r="BA1" s="69" t="s">
        <v>433</v>
      </c>
      <c r="BB1" s="69" t="s">
        <v>772</v>
      </c>
      <c r="BC1" s="69" t="s">
        <v>773</v>
      </c>
      <c r="BD1" s="69" t="s">
        <v>464</v>
      </c>
      <c r="BE1" s="69" t="s">
        <v>465</v>
      </c>
      <c r="BF1" s="69" t="s">
        <v>466</v>
      </c>
      <c r="BG1" s="69" t="s">
        <v>774</v>
      </c>
      <c r="BH1" s="69" t="s">
        <v>775</v>
      </c>
      <c r="BI1" s="69" t="s">
        <v>776</v>
      </c>
      <c r="BJ1" s="69" t="s">
        <v>777</v>
      </c>
      <c r="BK1" s="69" t="s">
        <v>778</v>
      </c>
      <c r="BL1" s="69" t="s">
        <v>779</v>
      </c>
      <c r="BM1" s="69" t="s">
        <v>780</v>
      </c>
      <c r="BN1" s="69" t="s">
        <v>473</v>
      </c>
      <c r="BO1" s="69" t="s">
        <v>474</v>
      </c>
      <c r="BP1" s="69" t="s">
        <v>781</v>
      </c>
      <c r="BQ1" s="69" t="s">
        <v>782</v>
      </c>
      <c r="BR1" s="69" t="s">
        <v>505</v>
      </c>
      <c r="BS1" s="69" t="s">
        <v>506</v>
      </c>
      <c r="BT1" s="69" t="s">
        <v>507</v>
      </c>
      <c r="BU1" s="69" t="s">
        <v>783</v>
      </c>
      <c r="BV1" s="69" t="s">
        <v>784</v>
      </c>
      <c r="BW1" s="69" t="s">
        <v>785</v>
      </c>
      <c r="BX1" s="69" t="s">
        <v>786</v>
      </c>
      <c r="BY1" s="69" t="s">
        <v>787</v>
      </c>
      <c r="BZ1" s="69" t="s">
        <v>788</v>
      </c>
      <c r="CA1" s="69" t="s">
        <v>789</v>
      </c>
      <c r="CB1" s="69" t="s">
        <v>514</v>
      </c>
      <c r="CC1" s="69" t="s">
        <v>515</v>
      </c>
      <c r="CD1" s="69" t="s">
        <v>790</v>
      </c>
      <c r="CE1" s="69" t="s">
        <v>791</v>
      </c>
      <c r="CF1" s="69" t="s">
        <v>546</v>
      </c>
      <c r="CG1" s="69" t="s">
        <v>547</v>
      </c>
      <c r="CH1" s="69" t="s">
        <v>548</v>
      </c>
      <c r="CI1" s="69" t="s">
        <v>792</v>
      </c>
      <c r="CJ1" s="69" t="s">
        <v>793</v>
      </c>
      <c r="CK1" s="69" t="s">
        <v>794</v>
      </c>
      <c r="CL1" s="69" t="s">
        <v>795</v>
      </c>
      <c r="CM1" s="69" t="s">
        <v>796</v>
      </c>
      <c r="CN1" s="69" t="s">
        <v>797</v>
      </c>
      <c r="CO1" s="69" t="s">
        <v>798</v>
      </c>
      <c r="CP1" s="69" t="s">
        <v>555</v>
      </c>
      <c r="CQ1" s="69" t="s">
        <v>556</v>
      </c>
      <c r="CR1" s="69" t="s">
        <v>799</v>
      </c>
      <c r="CS1" s="69" t="s">
        <v>800</v>
      </c>
      <c r="CT1" s="69" t="s">
        <v>587</v>
      </c>
      <c r="CU1" s="69" t="s">
        <v>588</v>
      </c>
      <c r="CV1" s="69" t="s">
        <v>589</v>
      </c>
      <c r="CW1" s="69" t="s">
        <v>801</v>
      </c>
      <c r="CX1" s="69" t="s">
        <v>802</v>
      </c>
      <c r="CY1" s="69" t="s">
        <v>803</v>
      </c>
      <c r="CZ1" s="69" t="s">
        <v>804</v>
      </c>
      <c r="DA1" s="69" t="s">
        <v>805</v>
      </c>
      <c r="DB1" s="69" t="s">
        <v>806</v>
      </c>
      <c r="DC1" s="69" t="s">
        <v>807</v>
      </c>
      <c r="DD1" s="69" t="s">
        <v>596</v>
      </c>
      <c r="DE1" s="69" t="s">
        <v>597</v>
      </c>
      <c r="DF1" s="69" t="s">
        <v>808</v>
      </c>
      <c r="DG1" s="69" t="s">
        <v>809</v>
      </c>
      <c r="DH1" s="69" t="s">
        <v>628</v>
      </c>
      <c r="DI1" s="69" t="s">
        <v>629</v>
      </c>
      <c r="DJ1" s="69" t="s">
        <v>630</v>
      </c>
      <c r="DK1" s="69" t="s">
        <v>810</v>
      </c>
      <c r="DL1" s="69" t="s">
        <v>811</v>
      </c>
      <c r="DM1" s="69" t="s">
        <v>812</v>
      </c>
      <c r="DN1" s="69" t="s">
        <v>813</v>
      </c>
      <c r="DO1" s="69" t="s">
        <v>814</v>
      </c>
      <c r="DP1" s="69" t="s">
        <v>815</v>
      </c>
      <c r="DQ1" s="69" t="s">
        <v>816</v>
      </c>
      <c r="DR1" s="69" t="s">
        <v>637</v>
      </c>
      <c r="DS1" s="69" t="s">
        <v>638</v>
      </c>
      <c r="DT1" s="69" t="s">
        <v>817</v>
      </c>
      <c r="DU1" s="69" t="s">
        <v>818</v>
      </c>
      <c r="DV1" s="69" t="s">
        <v>669</v>
      </c>
      <c r="DW1" s="69" t="s">
        <v>670</v>
      </c>
      <c r="DX1" s="69" t="s">
        <v>671</v>
      </c>
      <c r="DY1" s="69" t="s">
        <v>819</v>
      </c>
      <c r="DZ1" s="69" t="s">
        <v>820</v>
      </c>
      <c r="EA1" s="69" t="s">
        <v>821</v>
      </c>
      <c r="EB1" s="69" t="s">
        <v>822</v>
      </c>
      <c r="EC1" s="69" t="s">
        <v>823</v>
      </c>
      <c r="ED1" s="69" t="s">
        <v>824</v>
      </c>
      <c r="EE1" s="69" t="s">
        <v>825</v>
      </c>
      <c r="EF1" s="69" t="s">
        <v>678</v>
      </c>
      <c r="EG1" s="69" t="s">
        <v>679</v>
      </c>
      <c r="EH1" s="69" t="s">
        <v>826</v>
      </c>
      <c r="EI1" s="69" t="s">
        <v>827</v>
      </c>
      <c r="EJ1" s="69" t="s">
        <v>710</v>
      </c>
      <c r="EK1" s="69" t="s">
        <v>711</v>
      </c>
      <c r="EL1" s="69" t="s">
        <v>712</v>
      </c>
      <c r="EM1" s="69" t="s">
        <v>828</v>
      </c>
      <c r="EN1" s="69" t="s">
        <v>829</v>
      </c>
      <c r="EO1" s="69" t="s">
        <v>830</v>
      </c>
      <c r="EP1" s="69" t="s">
        <v>831</v>
      </c>
      <c r="EQ1" s="69" t="s">
        <v>832</v>
      </c>
      <c r="ER1" s="69" t="s">
        <v>833</v>
      </c>
      <c r="ES1" s="69" t="s">
        <v>834</v>
      </c>
      <c r="ET1" s="69" t="s">
        <v>835</v>
      </c>
      <c r="EU1" s="69" t="s">
        <v>836</v>
      </c>
      <c r="EV1" s="69" t="s">
        <v>837</v>
      </c>
      <c r="EW1" s="69" t="s">
        <v>838</v>
      </c>
      <c r="EX1" s="69" t="s">
        <v>839</v>
      </c>
      <c r="EY1" s="69" t="s">
        <v>840</v>
      </c>
      <c r="EZ1" s="69" t="s">
        <v>841</v>
      </c>
      <c r="FA1" s="69" t="s">
        <v>842</v>
      </c>
      <c r="FB1" s="69" t="s">
        <v>843</v>
      </c>
      <c r="FC1" s="69" t="s">
        <v>844</v>
      </c>
      <c r="FD1" s="69" t="s">
        <v>845</v>
      </c>
      <c r="FE1" s="69" t="s">
        <v>846</v>
      </c>
      <c r="FF1" s="69" t="s">
        <v>847</v>
      </c>
      <c r="FG1" s="69" t="s">
        <v>848</v>
      </c>
      <c r="FH1" s="69" t="s">
        <v>849</v>
      </c>
      <c r="FI1" s="69" t="s">
        <v>850</v>
      </c>
      <c r="FJ1" s="69" t="s">
        <v>851</v>
      </c>
      <c r="FK1" s="69" t="s">
        <v>852</v>
      </c>
      <c r="FL1" s="69" t="s">
        <v>853</v>
      </c>
      <c r="FM1" s="69" t="s">
        <v>854</v>
      </c>
      <c r="FN1" s="69" t="s">
        <v>855</v>
      </c>
      <c r="FO1" s="69" t="s">
        <v>856</v>
      </c>
      <c r="FP1" s="69" t="s">
        <v>857</v>
      </c>
      <c r="FQ1" s="69" t="s">
        <v>858</v>
      </c>
      <c r="FR1" s="69" t="s">
        <v>859</v>
      </c>
      <c r="FS1" s="69" t="s">
        <v>860</v>
      </c>
      <c r="FT1" s="69" t="s">
        <v>861</v>
      </c>
      <c r="FU1" s="69" t="s">
        <v>862</v>
      </c>
      <c r="FV1" s="69" t="s">
        <v>863</v>
      </c>
      <c r="FW1" s="69" t="s">
        <v>864</v>
      </c>
      <c r="FX1" s="69" t="s">
        <v>865</v>
      </c>
      <c r="FY1" s="69" t="s">
        <v>866</v>
      </c>
      <c r="FZ1" s="69" t="s">
        <v>867</v>
      </c>
      <c r="GA1" s="69" t="s">
        <v>868</v>
      </c>
      <c r="GB1" s="69" t="s">
        <v>869</v>
      </c>
      <c r="GC1" s="69" t="s">
        <v>870</v>
      </c>
      <c r="GD1" s="69" t="s">
        <v>871</v>
      </c>
      <c r="GE1" s="69" t="s">
        <v>872</v>
      </c>
      <c r="GF1" s="69" t="s">
        <v>873</v>
      </c>
      <c r="GG1" s="69" t="s">
        <v>874</v>
      </c>
      <c r="GH1" s="69" t="s">
        <v>875</v>
      </c>
      <c r="GI1" s="69" t="s">
        <v>876</v>
      </c>
      <c r="GJ1" s="69" t="s">
        <v>877</v>
      </c>
      <c r="GK1" s="69" t="s">
        <v>878</v>
      </c>
      <c r="GL1" s="69" t="s">
        <v>879</v>
      </c>
      <c r="GM1" s="69" t="s">
        <v>880</v>
      </c>
      <c r="GN1" s="69" t="s">
        <v>881</v>
      </c>
      <c r="GO1" s="69" t="s">
        <v>882</v>
      </c>
      <c r="GP1" s="69" t="s">
        <v>883</v>
      </c>
      <c r="GQ1" s="69" t="s">
        <v>884</v>
      </c>
      <c r="GR1" s="69" t="s">
        <v>885</v>
      </c>
      <c r="GS1" s="69" t="s">
        <v>886</v>
      </c>
      <c r="GT1" s="69" t="s">
        <v>887</v>
      </c>
      <c r="GU1" s="69" t="s">
        <v>888</v>
      </c>
      <c r="GV1" s="69" t="s">
        <v>889</v>
      </c>
      <c r="GW1" s="69" t="s">
        <v>890</v>
      </c>
      <c r="GX1" s="69" t="s">
        <v>891</v>
      </c>
      <c r="GY1" s="69" t="s">
        <v>892</v>
      </c>
      <c r="GZ1" s="69" t="s">
        <v>893</v>
      </c>
      <c r="HA1" s="69" t="s">
        <v>894</v>
      </c>
      <c r="HB1" s="69" t="s">
        <v>895</v>
      </c>
    </row>
    <row r="2" ht="12.75" customHeight="1">
      <c r="A2" s="28" t="str">
        <f>County</f>
        <v>Amador</v>
      </c>
      <c r="B2" s="281" t="str">
        <f>coord1</f>
        <v/>
      </c>
      <c r="C2" s="281" t="str">
        <f>coord2</f>
        <v/>
      </c>
      <c r="D2" s="281" t="str">
        <f>strategy</f>
        <v/>
      </c>
      <c r="E2" s="281" t="str">
        <f>stratnar</f>
        <v/>
      </c>
      <c r="F2" s="281" t="str">
        <f>stratdf</f>
        <v/>
      </c>
      <c r="G2" s="281" t="str">
        <f>stratplan</f>
        <v/>
      </c>
      <c r="H2" s="281" t="str">
        <f>coordnar</f>
        <v/>
      </c>
      <c r="I2" s="69" t="str">
        <f>regional</f>
        <v/>
      </c>
      <c r="J2" s="69" t="str">
        <f>Numecodet1</f>
        <v>#REF!</v>
      </c>
      <c r="K2" s="69" t="str">
        <f>Numealtt1</f>
        <v>#REF!</v>
      </c>
      <c r="L2" s="69" t="str">
        <f>JJCPAt1</f>
        <v>#REF!</v>
      </c>
      <c r="M2" s="69" t="str">
        <f>Othert1</f>
        <v>#REF!</v>
      </c>
      <c r="N2" s="281" t="str">
        <f>t1casecount</f>
        <v>#REF!</v>
      </c>
      <c r="O2" s="285" t="str">
        <f>t1yobgpercap</f>
        <v>#REF!</v>
      </c>
      <c r="P2" s="285" t="str">
        <f>t1totpercap</f>
        <v>#REF!</v>
      </c>
      <c r="Q2" s="69" t="str">
        <f>t1nar</f>
        <v>#REF!</v>
      </c>
      <c r="R2" s="69" t="str">
        <f>t1goal</f>
        <v>#REF!</v>
      </c>
      <c r="S2" s="69" t="str">
        <f>t1barrier</f>
        <v>#REF!</v>
      </c>
      <c r="T2" s="69" t="str">
        <f>t1funds</f>
        <v>#REF!</v>
      </c>
      <c r="U2" s="69" t="str">
        <f>t1other1</f>
        <v/>
      </c>
      <c r="V2" s="69" t="str">
        <f>t1other2</f>
        <v/>
      </c>
      <c r="W2" s="69" t="str">
        <f>t1other3</f>
        <v/>
      </c>
      <c r="X2" s="69" t="str">
        <f>Numecodet2</f>
        <v>#REF!</v>
      </c>
      <c r="Y2" s="69" t="str">
        <f>Numealtt2</f>
        <v>#REF!</v>
      </c>
      <c r="Z2" s="69" t="str">
        <f>JJCPAt2</f>
        <v>#REF!</v>
      </c>
      <c r="AA2" s="69" t="str">
        <f>Othert2</f>
        <v>#REF!</v>
      </c>
      <c r="AB2" s="281" t="str">
        <f>t2casecount</f>
        <v>#REF!</v>
      </c>
      <c r="AC2" s="285" t="str">
        <f>t2yobgpercap</f>
        <v>#REF!</v>
      </c>
      <c r="AD2" s="285" t="str">
        <f>t2totpercap</f>
        <v>#REF!</v>
      </c>
      <c r="AE2" s="69" t="str">
        <f>t2nar</f>
        <v>#REF!</v>
      </c>
      <c r="AF2" s="69" t="str">
        <f>t2goal</f>
        <v>#REF!</v>
      </c>
      <c r="AG2" s="69" t="str">
        <f>t2barrier</f>
        <v>#REF!</v>
      </c>
      <c r="AH2" s="69" t="str">
        <f>t2funds</f>
        <v>#REF!</v>
      </c>
      <c r="AI2" s="69" t="str">
        <f>t2other1</f>
        <v>#REF!</v>
      </c>
      <c r="AJ2" s="69" t="str">
        <f>t2other2</f>
        <v>#REF!</v>
      </c>
      <c r="AK2" s="69" t="str">
        <f>t2other3</f>
        <v>#REF!</v>
      </c>
      <c r="AL2" s="69" t="str">
        <f>Numecodet3</f>
        <v>#REF!</v>
      </c>
      <c r="AM2" s="69" t="str">
        <f>Numealtt3</f>
        <v>#REF!</v>
      </c>
      <c r="AN2" s="69" t="str">
        <f>JJCPAt3</f>
        <v>#REF!</v>
      </c>
      <c r="AO2" s="69" t="str">
        <f>Othert3</f>
        <v>#REF!</v>
      </c>
      <c r="AP2" s="281" t="str">
        <f>t3casecount</f>
        <v>#REF!</v>
      </c>
      <c r="AQ2" s="285" t="str">
        <f>t3yobgpercap</f>
        <v>#REF!</v>
      </c>
      <c r="AR2" s="285" t="str">
        <f>t3totpercap</f>
        <v>#REF!</v>
      </c>
      <c r="AS2" s="69" t="str">
        <f>t3nar</f>
        <v>#REF!</v>
      </c>
      <c r="AT2" s="69" t="str">
        <f>t3goal</f>
        <v>#REF!</v>
      </c>
      <c r="AU2" s="69" t="str">
        <f>t3barrier</f>
        <v>#REF!</v>
      </c>
      <c r="AV2" s="69" t="str">
        <f>t3funds</f>
        <v>#REF!</v>
      </c>
      <c r="AW2" s="69" t="str">
        <f>t3other1</f>
        <v>#REF!</v>
      </c>
      <c r="AX2" s="69" t="str">
        <f>t3other2</f>
        <v>#REF!</v>
      </c>
      <c r="AY2" s="69" t="str">
        <f>t3other3</f>
        <v>#REF!</v>
      </c>
      <c r="AZ2" s="69" t="str">
        <f>Numecodet4</f>
        <v>#REF!</v>
      </c>
      <c r="BA2" s="69" t="str">
        <f>Numealtt4</f>
        <v>#REF!</v>
      </c>
      <c r="BB2" s="69" t="str">
        <f>JJCPAt4</f>
        <v>#REF!</v>
      </c>
      <c r="BC2" s="69" t="str">
        <f>Othert4</f>
        <v>#REF!</v>
      </c>
      <c r="BD2" s="281" t="str">
        <f>t4casecount</f>
        <v>#REF!</v>
      </c>
      <c r="BE2" s="285" t="str">
        <f>t4yobgpercap</f>
        <v>#REF!</v>
      </c>
      <c r="BF2" s="285" t="str">
        <f>t4totpercap</f>
        <v>#REF!</v>
      </c>
      <c r="BG2" s="69" t="str">
        <f>t4nar</f>
        <v>#REF!</v>
      </c>
      <c r="BH2" s="69" t="str">
        <f>t4goal</f>
        <v>#REF!</v>
      </c>
      <c r="BI2" s="69" t="str">
        <f>t4barrier</f>
        <v>#REF!</v>
      </c>
      <c r="BJ2" s="69" t="str">
        <f>t4funds</f>
        <v>#REF!</v>
      </c>
      <c r="BK2" s="69" t="str">
        <f>t4other1</f>
        <v>#REF!</v>
      </c>
      <c r="BL2" s="69" t="str">
        <f>t4other2</f>
        <v>#REF!</v>
      </c>
      <c r="BM2" s="69" t="str">
        <f>t4other3</f>
        <v>#REF!</v>
      </c>
      <c r="BN2" s="69" t="str">
        <f>Numecodet5</f>
        <v>#REF!</v>
      </c>
      <c r="BO2" s="69" t="str">
        <f>Numealtt5</f>
        <v>#REF!</v>
      </c>
      <c r="BP2" s="69" t="str">
        <f>JJCPAt5</f>
        <v>#REF!</v>
      </c>
      <c r="BQ2" s="69" t="str">
        <f>Othert5</f>
        <v>#REF!</v>
      </c>
      <c r="BR2" s="281" t="str">
        <f>t5casecount</f>
        <v>#REF!</v>
      </c>
      <c r="BS2" s="285" t="str">
        <f>t5yobgpercap</f>
        <v>#REF!</v>
      </c>
      <c r="BT2" s="285" t="str">
        <f>t5totpercap</f>
        <v>#REF!</v>
      </c>
      <c r="BU2" s="69" t="str">
        <f>t5nar</f>
        <v>#REF!</v>
      </c>
      <c r="BV2" s="69" t="str">
        <f>t5goal</f>
        <v>#REF!</v>
      </c>
      <c r="BW2" s="69" t="str">
        <f>t5barrier</f>
        <v>#REF!</v>
      </c>
      <c r="BX2" s="69" t="str">
        <f>t5funds</f>
        <v>#REF!</v>
      </c>
      <c r="BY2" s="69" t="str">
        <f>t5other1</f>
        <v>#REF!</v>
      </c>
      <c r="BZ2" s="69" t="str">
        <f>t5other2</f>
        <v>#REF!</v>
      </c>
      <c r="CA2" s="69" t="str">
        <f>t5other3</f>
        <v>#REF!</v>
      </c>
      <c r="CB2" s="69" t="str">
        <f>Numecodet6</f>
        <v>#REF!</v>
      </c>
      <c r="CC2" s="69" t="str">
        <f>Numealtt6</f>
        <v>#REF!</v>
      </c>
      <c r="CD2" s="69" t="str">
        <f>JJCPAt6</f>
        <v>#REF!</v>
      </c>
      <c r="CE2" s="69" t="str">
        <f>Othert6</f>
        <v>#REF!</v>
      </c>
      <c r="CF2" s="281" t="str">
        <f>t6casecount</f>
        <v>#REF!</v>
      </c>
      <c r="CG2" s="285" t="str">
        <f>t6yobgpercap</f>
        <v>#REF!</v>
      </c>
      <c r="CH2" s="285" t="str">
        <f>t6totpercap</f>
        <v>#REF!</v>
      </c>
      <c r="CI2" s="69" t="str">
        <f>t6nar</f>
        <v>#REF!</v>
      </c>
      <c r="CJ2" s="69" t="str">
        <f>t6goal</f>
        <v>#REF!</v>
      </c>
      <c r="CK2" s="69" t="str">
        <f>t6barrier</f>
        <v>#REF!</v>
      </c>
      <c r="CL2" s="69" t="str">
        <f>t6funds</f>
        <v>#REF!</v>
      </c>
      <c r="CM2" s="69" t="str">
        <f>t6other1</f>
        <v>#REF!</v>
      </c>
      <c r="CN2" s="69" t="str">
        <f>t6other2</f>
        <v>#REF!</v>
      </c>
      <c r="CO2" s="69" t="str">
        <f>t6other3</f>
        <v>#REF!</v>
      </c>
      <c r="CP2" s="69" t="str">
        <f>Numecodet7</f>
        <v>#REF!</v>
      </c>
      <c r="CQ2" s="69" t="str">
        <f>Numealtt7</f>
        <v>#REF!</v>
      </c>
      <c r="CR2" s="69" t="str">
        <f>JJCPAt7</f>
        <v>#REF!</v>
      </c>
      <c r="CS2" s="69" t="str">
        <f>Othert7</f>
        <v>#REF!</v>
      </c>
      <c r="CT2" s="281" t="str">
        <f>t7casecount</f>
        <v>#REF!</v>
      </c>
      <c r="CU2" s="285" t="str">
        <f>t7yobgpercap</f>
        <v>#REF!</v>
      </c>
      <c r="CV2" s="285" t="str">
        <f>t7totpercap</f>
        <v>#REF!</v>
      </c>
      <c r="CW2" s="69" t="str">
        <f>t7nar</f>
        <v>#REF!</v>
      </c>
      <c r="CX2" s="69" t="str">
        <f>t7goal</f>
        <v>#REF!</v>
      </c>
      <c r="CY2" s="69" t="str">
        <f>t7barrier</f>
        <v>#REF!</v>
      </c>
      <c r="CZ2" s="69" t="str">
        <f>t7funds</f>
        <v>#REF!</v>
      </c>
      <c r="DA2" s="69" t="str">
        <f>t7other1</f>
        <v>#REF!</v>
      </c>
      <c r="DB2" s="69" t="str">
        <f>t7other2</f>
        <v>#REF!</v>
      </c>
      <c r="DC2" s="69" t="str">
        <f>t7other3</f>
        <v>#REF!</v>
      </c>
      <c r="DD2" s="69" t="str">
        <f>Numecodet8</f>
        <v>#REF!</v>
      </c>
      <c r="DE2" s="69" t="str">
        <f>Numealtt8</f>
        <v>#REF!</v>
      </c>
      <c r="DF2" s="69" t="str">
        <f>JJCPAt8</f>
        <v>#REF!</v>
      </c>
      <c r="DG2" s="69" t="str">
        <f>Othert8</f>
        <v>#REF!</v>
      </c>
      <c r="DH2" s="281" t="str">
        <f>t8casecount</f>
        <v>#REF!</v>
      </c>
      <c r="DI2" s="285" t="str">
        <f>t8yobgpercap</f>
        <v>#REF!</v>
      </c>
      <c r="DJ2" s="285" t="str">
        <f>t8totpercap</f>
        <v>#REF!</v>
      </c>
      <c r="DK2" s="69" t="str">
        <f>t8nar</f>
        <v>#REF!</v>
      </c>
      <c r="DL2" s="69" t="str">
        <f>t8goal</f>
        <v>#REF!</v>
      </c>
      <c r="DM2" s="69" t="str">
        <f>t8barrier</f>
        <v>#REF!</v>
      </c>
      <c r="DN2" s="69" t="str">
        <f>t8funds</f>
        <v>#REF!</v>
      </c>
      <c r="DO2" s="69" t="str">
        <f>t8other1</f>
        <v>#REF!</v>
      </c>
      <c r="DP2" s="69" t="str">
        <f>t8other2</f>
        <v>#REF!</v>
      </c>
      <c r="DQ2" s="69" t="str">
        <f>t8other3</f>
        <v>#REF!</v>
      </c>
      <c r="DR2" s="69" t="str">
        <f>Numecodet9</f>
        <v>#REF!</v>
      </c>
      <c r="DS2" s="69" t="str">
        <f>Numealtt9</f>
        <v>#REF!</v>
      </c>
      <c r="DT2" s="69" t="str">
        <f>JJCPAt9</f>
        <v>#REF!</v>
      </c>
      <c r="DU2" s="69" t="str">
        <f>Othert9</f>
        <v>#REF!</v>
      </c>
      <c r="DV2" s="281" t="str">
        <f>t9casecount</f>
        <v>#REF!</v>
      </c>
      <c r="DW2" s="285" t="str">
        <f>t9yobgpercap</f>
        <v>#REF!</v>
      </c>
      <c r="DX2" s="285" t="str">
        <f>t9totpercap</f>
        <v>#REF!</v>
      </c>
      <c r="DY2" s="69" t="str">
        <f>t9nar</f>
        <v>#REF!</v>
      </c>
      <c r="DZ2" s="69" t="str">
        <f>t9goal</f>
        <v>#REF!</v>
      </c>
      <c r="EA2" s="69" t="str">
        <f>t9barrier</f>
        <v>#REF!</v>
      </c>
      <c r="EB2" s="69" t="str">
        <f>t9funds</f>
        <v>#REF!</v>
      </c>
      <c r="EC2" s="69" t="str">
        <f>t9other1</f>
        <v>#REF!</v>
      </c>
      <c r="ED2" s="69" t="str">
        <f>t9other2</f>
        <v>#REF!</v>
      </c>
      <c r="EE2" s="69" t="str">
        <f>t9other3</f>
        <v>#REF!</v>
      </c>
      <c r="EF2" s="69" t="str">
        <f>Numecodet10</f>
        <v>#REF!</v>
      </c>
      <c r="EG2" s="69" t="str">
        <f>Numealtt10</f>
        <v>#REF!</v>
      </c>
      <c r="EH2" s="69" t="str">
        <f>JJCPAt10</f>
        <v>#REF!</v>
      </c>
      <c r="EI2" s="69" t="str">
        <f>Othert10</f>
        <v>#REF!</v>
      </c>
      <c r="EJ2" s="281" t="str">
        <f>t10casecount</f>
        <v>#REF!</v>
      </c>
      <c r="EK2" s="285" t="str">
        <f>t10yobgpercap</f>
        <v>#REF!</v>
      </c>
      <c r="EL2" s="285" t="str">
        <f>t10totpercap</f>
        <v>#REF!</v>
      </c>
      <c r="EM2" s="69" t="str">
        <f>t10nar</f>
        <v>#REF!</v>
      </c>
      <c r="EN2" s="69" t="str">
        <f>t10goal</f>
        <v>#REF!</v>
      </c>
      <c r="EO2" s="69" t="str">
        <f>t10barrier</f>
        <v>#REF!</v>
      </c>
      <c r="EP2" s="69" t="str">
        <f>t10funds</f>
        <v>#REF!</v>
      </c>
      <c r="EQ2" s="69" t="str">
        <f>t10other1</f>
        <v>#REF!</v>
      </c>
      <c r="ER2" s="69" t="str">
        <f>t10other2</f>
        <v>#REF!</v>
      </c>
      <c r="ES2" s="69" t="str">
        <f>t10other3</f>
        <v>#REF!</v>
      </c>
      <c r="ET2" s="284" t="str">
        <f>totyobgexp</f>
        <v>#REF!</v>
      </c>
      <c r="EU2" s="284" t="str">
        <f>fy1314all</f>
        <v>#REF!</v>
      </c>
      <c r="EV2" s="284" t="str">
        <f>fy1213all</f>
        <v>#REF!</v>
      </c>
      <c r="EW2" s="284" t="str">
        <f>fy1112all</f>
        <v>#REF!</v>
      </c>
      <c r="EX2" s="284" t="str">
        <f>fy1011all</f>
        <v>#REF!</v>
      </c>
      <c r="EY2" s="284" t="str">
        <f>fy0910all</f>
        <v>#REF!</v>
      </c>
      <c r="EZ2" s="284" t="str">
        <f>fy0809all</f>
        <v>#REF!</v>
      </c>
      <c r="FA2" s="284" t="str">
        <f>fy0708all</f>
        <v>#REF!</v>
      </c>
      <c r="FB2" s="284" t="str">
        <f>totforall</f>
        <v>#REF!</v>
      </c>
      <c r="FC2" s="284" t="str">
        <f>discrep</f>
        <v>#REF!</v>
      </c>
      <c r="FD2" s="69" t="str">
        <f>discexpl</f>
        <v>#REF!</v>
      </c>
      <c r="FE2" s="69" t="str">
        <f>Numecodet1</f>
        <v>#REF!</v>
      </c>
      <c r="FF2" s="69" t="str">
        <f>JJCPAt1</f>
        <v>#REF!</v>
      </c>
      <c r="FG2" s="284">
        <f>t1jjcpatot</f>
        <v>0</v>
      </c>
      <c r="FH2" s="69" t="str">
        <f>Othert1</f>
        <v>#REF!</v>
      </c>
      <c r="FI2" s="284">
        <f>t1othertot</f>
        <v>0</v>
      </c>
      <c r="FJ2" s="69" t="str">
        <f>Numecodet2</f>
        <v>#REF!</v>
      </c>
      <c r="FK2" s="69" t="str">
        <f>JJCPAt2</f>
        <v>#REF!</v>
      </c>
      <c r="FL2" s="284" t="str">
        <f>t2jjcpatot</f>
        <v>#REF!</v>
      </c>
      <c r="FM2" s="69" t="str">
        <f>Othert2</f>
        <v>#REF!</v>
      </c>
      <c r="FN2" s="284" t="str">
        <f>t2othertot</f>
        <v>#REF!</v>
      </c>
      <c r="FO2" s="69" t="str">
        <f>Numecodet3</f>
        <v>#REF!</v>
      </c>
      <c r="FP2" s="69" t="str">
        <f>JJCPAt3</f>
        <v>#REF!</v>
      </c>
      <c r="FQ2" s="284" t="str">
        <f>t3jjcpatot</f>
        <v>#REF!</v>
      </c>
      <c r="FR2" s="69" t="str">
        <f>Othert3</f>
        <v>#REF!</v>
      </c>
      <c r="FS2" s="284" t="str">
        <f>t3othertot</f>
        <v>#REF!</v>
      </c>
      <c r="FT2" s="69" t="str">
        <f>Numecodet4</f>
        <v>#REF!</v>
      </c>
      <c r="FU2" s="69" t="str">
        <f>JJCPAt4</f>
        <v>#REF!</v>
      </c>
      <c r="FV2" s="284" t="str">
        <f>t4jjcpatot</f>
        <v>#REF!</v>
      </c>
      <c r="FW2" s="69" t="str">
        <f>Othert4</f>
        <v>#REF!</v>
      </c>
      <c r="FX2" s="284" t="str">
        <f>t4othertot</f>
        <v>#REF!</v>
      </c>
      <c r="FY2" s="69" t="str">
        <f>Numecodet5</f>
        <v>#REF!</v>
      </c>
      <c r="FZ2" s="69" t="str">
        <f>JJCPAt5</f>
        <v>#REF!</v>
      </c>
      <c r="GA2" s="284" t="str">
        <f>t5jjcpatot</f>
        <v>#REF!</v>
      </c>
      <c r="GB2" s="69" t="str">
        <f>Othert5</f>
        <v>#REF!</v>
      </c>
      <c r="GC2" s="284" t="str">
        <f>t5othertot</f>
        <v>#REF!</v>
      </c>
      <c r="GD2" s="69" t="str">
        <f>Numecodet6</f>
        <v>#REF!</v>
      </c>
      <c r="GE2" s="69" t="str">
        <f>JJCPAt6</f>
        <v>#REF!</v>
      </c>
      <c r="GF2" s="284" t="str">
        <f>t6jjcpatot</f>
        <v>#REF!</v>
      </c>
      <c r="GG2" s="69" t="str">
        <f>Othert6</f>
        <v>#REF!</v>
      </c>
      <c r="GH2" s="284" t="str">
        <f>t6othertot</f>
        <v>#REF!</v>
      </c>
      <c r="GI2" s="69" t="str">
        <f>Numecodet7</f>
        <v>#REF!</v>
      </c>
      <c r="GJ2" s="69" t="str">
        <f>JJCPAt7</f>
        <v>#REF!</v>
      </c>
      <c r="GK2" s="284" t="str">
        <f>t7jjcpatot</f>
        <v>#REF!</v>
      </c>
      <c r="GL2" s="69" t="str">
        <f>Othert7</f>
        <v>#REF!</v>
      </c>
      <c r="GM2" s="284" t="str">
        <f>t7othertot</f>
        <v>#REF!</v>
      </c>
      <c r="GN2" s="69" t="str">
        <f>Numecodet8</f>
        <v>#REF!</v>
      </c>
      <c r="GO2" s="69" t="str">
        <f>JJCPAt8</f>
        <v>#REF!</v>
      </c>
      <c r="GP2" s="284" t="str">
        <f>t8jjcpatot</f>
        <v>#REF!</v>
      </c>
      <c r="GQ2" s="69" t="str">
        <f>Othert8</f>
        <v>#REF!</v>
      </c>
      <c r="GR2" s="284" t="str">
        <f>t8othertot</f>
        <v>#REF!</v>
      </c>
      <c r="GS2" s="69" t="str">
        <f>Numecodet9</f>
        <v>#REF!</v>
      </c>
      <c r="GT2" s="69" t="str">
        <f>JJCPAt9</f>
        <v>#REF!</v>
      </c>
      <c r="GU2" s="284" t="str">
        <f>t9jjcpatot</f>
        <v>#REF!</v>
      </c>
      <c r="GV2" s="69" t="str">
        <f>Othert9</f>
        <v>#REF!</v>
      </c>
      <c r="GW2" s="284" t="str">
        <f>t9othertot</f>
        <v>#REF!</v>
      </c>
      <c r="GX2" s="69" t="str">
        <f>Numcodet10</f>
        <v>#REF!</v>
      </c>
      <c r="GY2" s="69" t="str">
        <f>JJCPAt10</f>
        <v>#REF!</v>
      </c>
      <c r="GZ2" s="284" t="str">
        <f>t10jjcpatot</f>
        <v>#REF!</v>
      </c>
      <c r="HA2" s="69" t="str">
        <f>Othert10</f>
        <v>#REF!</v>
      </c>
      <c r="HB2" s="284" t="str">
        <f>t10othertot</f>
        <v>#REF!</v>
      </c>
    </row>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C60C93B5-8C24-4D89-84E3-F17AAEC6A89C}"/>
</file>

<file path=customXml/itemProps2.xml><?xml version="1.0" encoding="utf-8"?>
<ds:datastoreItem xmlns:ds="http://schemas.openxmlformats.org/officeDocument/2006/customXml" ds:itemID="{7F72EDEF-26C4-44F7-AFFB-8EAEAC9224C0}"/>
</file>

<file path=customXml/itemProps3.xml><?xml version="1.0" encoding="utf-8"?>
<ds:datastoreItem xmlns:ds="http://schemas.openxmlformats.org/officeDocument/2006/customXml" ds:itemID="{A92966E6-4B3B-4E68-A94B-7598CB1D73BF}"/>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dcterms:created xsi:type="dcterms:W3CDTF">2010-06-09T19:05:00Z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ies>
</file>