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ahhs.sharepoint.com/sites/OYCR/Shared Documents/County Block Grants - JRG and JJCPA-YOBG/JJCPA &amp; YOBG/Expenditure and Data Reports/2024 JJCPA-YOBG Reports Received/"/>
    </mc:Choice>
  </mc:AlternateContent>
  <xr:revisionPtr revIDLastSave="0" documentId="13_ncr:1_{481C57AB-942E-4D93-8231-2E83DD4D5694}" xr6:coauthVersionLast="47" xr6:coauthVersionMax="47" xr10:uidLastSave="{00000000-0000-0000-0000-000000000000}"/>
  <bookViews>
    <workbookView xWindow="-110" yWindow="-110" windowWidth="19420" windowHeight="11500" firstSheet="3" activeTab="6"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E132" i="6" l="1"/>
  <c r="G185" i="6"/>
  <c r="G184" i="6"/>
  <c r="E133" i="6"/>
  <c r="K1" i="3"/>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6" i="13"/>
  <c r="B15" i="13"/>
  <c r="B14" i="13"/>
  <c r="B13" i="13"/>
  <c r="B12" i="13"/>
  <c r="B11" i="13"/>
  <c r="B10" i="13"/>
  <c r="B9" i="13"/>
  <c r="B8" i="13"/>
  <c r="B7" i="13"/>
  <c r="B6" i="13"/>
  <c r="B5" i="13"/>
  <c r="B4" i="13"/>
  <c r="B3" i="13"/>
  <c r="B2" i="13"/>
  <c r="B1" i="13"/>
  <c r="E56" i="12"/>
  <c r="E53" i="11"/>
  <c r="E56" i="10"/>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884" i="6"/>
  <c r="G884" i="6"/>
  <c r="E884" i="6"/>
  <c r="H867" i="6"/>
  <c r="I826" i="6"/>
  <c r="G826" i="6"/>
  <c r="E826" i="6"/>
  <c r="H809" i="6"/>
  <c r="I768" i="6"/>
  <c r="G768" i="6"/>
  <c r="E768" i="6"/>
  <c r="H751" i="6"/>
  <c r="I710" i="6"/>
  <c r="G710" i="6"/>
  <c r="E710" i="6"/>
  <c r="H693" i="6"/>
  <c r="I652" i="6"/>
  <c r="G652" i="6"/>
  <c r="E652" i="6"/>
  <c r="H635" i="6"/>
  <c r="I594" i="6"/>
  <c r="G594" i="6"/>
  <c r="E594" i="6"/>
  <c r="H577" i="6"/>
  <c r="I536" i="6"/>
  <c r="G536" i="6"/>
  <c r="E536" i="6"/>
  <c r="H519" i="6"/>
  <c r="I478" i="6"/>
  <c r="G478" i="6"/>
  <c r="E478" i="6"/>
  <c r="H461" i="6"/>
  <c r="I420" i="6"/>
  <c r="G420" i="6"/>
  <c r="E420" i="6"/>
  <c r="H403" i="6"/>
  <c r="I362" i="6"/>
  <c r="G362" i="6"/>
  <c r="E362" i="6"/>
  <c r="H345" i="6"/>
  <c r="I304" i="6"/>
  <c r="G304" i="6"/>
  <c r="E304" i="6"/>
  <c r="H287" i="6"/>
  <c r="I246" i="6"/>
  <c r="G246" i="6"/>
  <c r="E246" i="6"/>
  <c r="H229"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D21" i="8" s="1"/>
  <c r="J9" i="3"/>
  <c r="D17" i="8" s="1"/>
  <c r="I27" i="2"/>
  <c r="J10" i="8" s="1"/>
  <c r="I16" i="2"/>
  <c r="D10" i="8" s="1"/>
  <c r="K1" i="2"/>
  <c r="B19" i="13" l="1"/>
  <c r="B17" i="13"/>
  <c r="FG2" i="19"/>
  <c r="B18" i="13"/>
  <c r="B42" i="13"/>
  <c r="FI2" i="19"/>
  <c r="B52" i="13"/>
  <c r="AF2" i="17"/>
  <c r="B163" i="15"/>
  <c r="Q2" i="17"/>
  <c r="R2" i="17"/>
  <c r="B165" i="15"/>
  <c r="S2" i="17"/>
</calcChain>
</file>

<file path=xl/sharedStrings.xml><?xml version="1.0" encoding="utf-8"?>
<sst xmlns="http://schemas.openxmlformats.org/spreadsheetml/2006/main" count="2375" uniqueCount="976">
  <si>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</si>
  <si>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</si>
  <si>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</si>
  <si>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</si>
  <si>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</si>
  <si>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</si>
  <si>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</si>
  <si>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</si>
  <si>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</si>
  <si>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</si>
  <si>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</si>
  <si>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</si>
  <si>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</si>
  <si>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</si>
  <si>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</si>
  <si>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</si>
  <si>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</si>
  <si>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</si>
  <si>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</si>
  <si>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</si>
  <si>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</si>
  <si>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</si>
  <si>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</si>
  <si>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</si>
  <si>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</si>
  <si>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</si>
  <si>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</si>
  <si>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</si>
  <si>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</si>
  <si>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</si>
  <si>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</si>
  <si>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</si>
  <si>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</si>
  <si>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</si>
  <si>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</si>
  <si>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</si>
  <si>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</si>
  <si>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</si>
  <si>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</si>
  <si>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</si>
  <si>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</si>
  <si>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</si>
  <si>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</si>
  <si>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</si>
  <si>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</si>
  <si>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</si>
  <si>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</si>
  <si>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</si>
  <si>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</si>
  <si>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</si>
  <si>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</si>
  <si>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family val="2"/>
      </rPr>
      <t>California Youth Authority</t>
    </r>
    <r>
      <rPr>
        <b/>
        <sz val="12"/>
        <color theme="1"/>
        <rFont val="Arial"/>
        <family val="2"/>
      </rPr>
      <t>*</t>
    </r>
  </si>
  <si>
    <t>Subsequent Actions</t>
  </si>
  <si>
    <t>Technical Violations</t>
  </si>
  <si>
    <t>Sex   (OPTIONAL)</t>
  </si>
  <si>
    <r>
      <rPr>
        <b/>
        <sz val="12"/>
        <color theme="1"/>
        <rFont val="Arial"/>
        <family val="2"/>
      </rPr>
      <t>*</t>
    </r>
    <r>
      <rPr>
        <b/>
        <sz val="9"/>
        <color theme="1"/>
        <rFont val="Arial"/>
        <family val="2"/>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</si>
  <si>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</si>
  <si>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</si>
  <si>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</si>
  <si>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</si>
  <si>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</si>
  <si>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</si>
  <si>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</si>
  <si>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</si>
  <si>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</si>
  <si>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</si>
  <si>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</si>
  <si>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</si>
  <si>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</si>
  <si>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</si>
  <si>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</si>
  <si>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</si>
  <si>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</si>
  <si>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</si>
  <si>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</si>
  <si>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</si>
  <si>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</si>
  <si>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</si>
  <si>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</si>
  <si>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</si>
  <si>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</si>
  <si>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</si>
  <si>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</si>
  <si>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</si>
  <si>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</si>
  <si>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</si>
  <si>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</si>
  <si>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</si>
  <si>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</si>
  <si>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</si>
  <si>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</si>
  <si>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</si>
  <si>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</si>
  <si>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</si>
  <si>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</si>
  <si>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</si>
  <si>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</si>
  <si>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</si>
  <si>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</si>
  <si>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</si>
  <si>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</si>
  <si>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</si>
  <si>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</si>
  <si>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</si>
  <si>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</si>
  <si>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</si>
  <si>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</si>
  <si>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</si>
  <si>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</si>
  <si>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</si>
  <si>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</si>
  <si>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</si>
  <si>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</si>
  <si>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</si>
  <si>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</si>
  <si>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</si>
  <si>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</si>
  <si>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</si>
  <si>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</si>
  <si>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</si>
  <si>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</si>
  <si>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</si>
  <si>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</si>
  <si>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</si>
  <si>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</si>
  <si>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</si>
  <si>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</si>
  <si>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</si>
  <si>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</si>
  <si>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</si>
  <si>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family val="2"/>
      </rPr>
      <t>Salaries and Benefits</t>
    </r>
    <r>
      <rPr>
        <sz val="10"/>
        <color theme="1"/>
        <rFont val="Arial"/>
        <family val="2"/>
      </rPr>
      <t xml:space="preserve"> includes all expenditures related to paying the salaries and benefits of county probation (or other county department) employees who were directly involved in grant-related activities. </t>
    </r>
  </si>
  <si>
    <r>
      <rPr>
        <b/>
        <sz val="10"/>
        <color theme="1"/>
        <rFont val="Arial"/>
        <family val="2"/>
      </rPr>
      <t xml:space="preserve">Services and Supplies </t>
    </r>
    <r>
      <rPr>
        <sz val="10"/>
        <color theme="1"/>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</si>
  <si>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family val="2"/>
      </rPr>
      <t xml:space="preserve">Professional Services </t>
    </r>
    <r>
      <rPr>
        <sz val="10"/>
        <color theme="1"/>
        <rFont val="Arial"/>
        <family val="2"/>
      </rPr>
      <t>includes all services provided by individuals and agencies with whom the County contracts. The county is responsible for reimbursing every contracted individual/agency.</t>
    </r>
  </si>
  <si>
    <r>
      <rPr>
        <b/>
        <sz val="10"/>
        <color theme="1"/>
        <rFont val="Arial"/>
        <family val="2"/>
      </rPr>
      <t xml:space="preserve">Community-Based  Organizations   (CBO) </t>
    </r>
    <r>
      <rPr>
        <sz val="10"/>
        <color theme="1"/>
        <rFont val="Arial"/>
        <family val="2"/>
      </rPr>
      <t xml:space="preserve"> includes  all  expenditures  for  services  received  from  CBO's.   </t>
    </r>
    <r>
      <rPr>
        <b/>
        <i/>
        <sz val="10"/>
        <color theme="1"/>
        <rFont val="Arial"/>
        <family val="2"/>
      </rPr>
      <t>NOTE</t>
    </r>
    <r>
      <rPr>
        <sz val="10"/>
        <color theme="1"/>
        <rFont val="Arial"/>
        <family val="2"/>
      </rPr>
      <t>:</t>
    </r>
    <r>
      <rPr>
        <i/>
        <sz val="10"/>
        <color theme="1"/>
        <rFont val="Arial"/>
        <family val="2"/>
      </rPr>
      <t xml:space="preserve"> If you use JJCPA and/or YOBG funds to contract with a CBO, report that expenditure on this line item rather than on the Professional Services line item.</t>
    </r>
  </si>
  <si>
    <r>
      <rPr>
        <b/>
        <sz val="10"/>
        <color theme="1"/>
        <rFont val="Arial"/>
        <family val="2"/>
      </rPr>
      <t>Fixed Assets/Equipment</t>
    </r>
    <r>
      <rPr>
        <sz val="10"/>
        <color theme="1"/>
        <rFont val="Arial"/>
        <family val="2"/>
      </rPr>
      <t xml:space="preserve"> includes items such as vehicles and equipment needed to implement and/or operate the program, placement, service, etc. (e.g., computer and other office equipment including furniture).</t>
    </r>
  </si>
  <si>
    <r>
      <rPr>
        <b/>
        <sz val="10"/>
        <color theme="1"/>
        <rFont val="Arial"/>
        <family val="2"/>
      </rPr>
      <t>Administrative Overhead</t>
    </r>
    <r>
      <rPr>
        <sz val="10"/>
        <color theme="1"/>
        <rFont val="Arial"/>
        <family val="2"/>
      </rPr>
      <t xml:space="preserve"> includes all costs associated with administration of the program, placement, service, strategy, and/or system enhancement being supported by JJCPA and/or YOBG funds.</t>
    </r>
  </si>
  <si>
    <r>
      <rPr>
        <sz val="10"/>
        <color theme="1"/>
        <rFont val="Arial"/>
        <family val="2"/>
      </rPr>
      <t xml:space="preserve">Use the space below the budget detail to provide a narrative description for each program, placement, service, strategy, and/or system enhancement that was funded last year.  </t>
    </r>
    <r>
      <rPr>
        <i/>
        <sz val="10"/>
        <color theme="1"/>
        <rFont val="Arial"/>
        <family val="2"/>
      </rPr>
      <t xml:space="preserve">To do so, double click on the response box provided for this purpose. </t>
    </r>
    <r>
      <rPr>
        <sz val="10"/>
        <color theme="1"/>
        <rFont val="Arial"/>
        <family val="2"/>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</si>
  <si>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</si>
  <si>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family val="2"/>
      </rPr>
      <t xml:space="preserve">And, as previously stated, we </t>
    </r>
    <r>
      <rPr>
        <b/>
        <sz val="10"/>
        <color theme="1"/>
        <rFont val="Arial"/>
        <family val="2"/>
      </rPr>
      <t>strongly suggest you use Spell Check</t>
    </r>
    <r>
      <rPr>
        <sz val="10"/>
        <color theme="1"/>
        <rFont val="Arial"/>
        <family val="2"/>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</si>
  <si>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</si>
  <si>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</si>
  <si>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</si>
  <si>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family val="2"/>
      </rPr>
      <t>Expenditure Category (Required)</t>
    </r>
    <r>
      <rPr>
        <sz val="8"/>
        <color theme="1"/>
        <rFont val="Arial"/>
        <family val="2"/>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</si>
  <si>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</si>
  <si>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</si>
  <si>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</si>
  <si>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</si>
  <si>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</si>
  <si>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</si>
  <si>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</si>
  <si>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</si>
  <si>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</si>
  <si>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</si>
  <si>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</si>
  <si>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</si>
  <si>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</si>
  <si>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</si>
  <si>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</si>
  <si>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</si>
  <si>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family val="2"/>
      </rPr>
      <t>Expenditure Category (Required)</t>
    </r>
    <r>
      <rPr>
        <sz val="8"/>
        <color theme="1"/>
        <rFont val="Arial"/>
        <family val="2"/>
      </rPr>
      <t>:</t>
    </r>
  </si>
  <si>
    <t>4. Program, Placement, Service, Strategy, or System Enhancement</t>
  </si>
  <si>
    <t>strategy or system enhancement:</t>
  </si>
  <si>
    <r>
      <rPr>
        <sz val="10"/>
        <color theme="1"/>
        <rFont val="Arial"/>
        <family val="2"/>
      </rPr>
      <t>Expenditure Category</t>
    </r>
    <r>
      <rPr>
        <sz val="8"/>
        <color theme="1"/>
        <rFont val="Arial"/>
        <family val="2"/>
      </rPr>
      <t>:</t>
    </r>
  </si>
  <si>
    <t>5. Program, Placement, Service, Strategy, or System Enhancement</t>
  </si>
  <si>
    <r>
      <rPr>
        <sz val="10"/>
        <color theme="1"/>
        <rFont val="Arial"/>
        <family val="2"/>
      </rPr>
      <t>Expenditure Category</t>
    </r>
    <r>
      <rPr>
        <sz val="8"/>
        <color theme="1"/>
        <rFont val="Arial"/>
        <family val="2"/>
      </rPr>
      <t>:</t>
    </r>
  </si>
  <si>
    <t>6. Program, Placement, Service, Strategy, or System Enhancement</t>
  </si>
  <si>
    <r>
      <rPr>
        <sz val="10"/>
        <color theme="1"/>
        <rFont val="Arial"/>
        <family val="2"/>
      </rPr>
      <t>Expenditure Category</t>
    </r>
    <r>
      <rPr>
        <sz val="8"/>
        <color theme="1"/>
        <rFont val="Arial"/>
        <family val="2"/>
      </rPr>
      <t>:</t>
    </r>
  </si>
  <si>
    <t>7. Program, Placement, Service, Strategy, or System Enhancement</t>
  </si>
  <si>
    <r>
      <rPr>
        <sz val="10"/>
        <color theme="1"/>
        <rFont val="Arial"/>
        <family val="2"/>
      </rPr>
      <t>Expenditure Category</t>
    </r>
    <r>
      <rPr>
        <sz val="8"/>
        <color theme="1"/>
        <rFont val="Arial"/>
        <family val="2"/>
      </rPr>
      <t>:</t>
    </r>
  </si>
  <si>
    <t>8. Program, Placement, Service, Strategy, or System Enhancement</t>
  </si>
  <si>
    <r>
      <rPr>
        <sz val="10"/>
        <color theme="1"/>
        <rFont val="Arial"/>
        <family val="2"/>
      </rPr>
      <t>Expenditure Category</t>
    </r>
    <r>
      <rPr>
        <sz val="8"/>
        <color theme="1"/>
        <rFont val="Arial"/>
        <family val="2"/>
      </rPr>
      <t>:</t>
    </r>
  </si>
  <si>
    <t>9. Program, Placement, Service, Strategy, or System Enhancement</t>
  </si>
  <si>
    <r>
      <rPr>
        <sz val="10"/>
        <color theme="1"/>
        <rFont val="Arial"/>
        <family val="2"/>
      </rPr>
      <t>Expenditure Category</t>
    </r>
    <r>
      <rPr>
        <sz val="8"/>
        <color theme="1"/>
        <rFont val="Arial"/>
        <family val="2"/>
      </rPr>
      <t>:</t>
    </r>
  </si>
  <si>
    <t>10. Program, Placement, Service, Strategy, or System Enhancement</t>
  </si>
  <si>
    <r>
      <rPr>
        <sz val="10"/>
        <color theme="1"/>
        <rFont val="Arial"/>
        <family val="2"/>
      </rPr>
      <t>Expenditure Category</t>
    </r>
    <r>
      <rPr>
        <sz val="8"/>
        <color theme="1"/>
        <rFont val="Arial"/>
        <family val="2"/>
      </rPr>
      <t>:</t>
    </r>
  </si>
  <si>
    <t>11. Program, Placement, Service, Strategy, or System Enhancement</t>
  </si>
  <si>
    <r>
      <rPr>
        <sz val="10"/>
        <color theme="1"/>
        <rFont val="Arial"/>
        <family val="2"/>
      </rPr>
      <t>Expenditure Category</t>
    </r>
    <r>
      <rPr>
        <sz val="8"/>
        <color theme="1"/>
        <rFont val="Arial"/>
        <family val="2"/>
      </rPr>
      <t>:</t>
    </r>
  </si>
  <si>
    <t>12. Program, Placement, Service, Strategy, or System Enhancement</t>
  </si>
  <si>
    <r>
      <rPr>
        <sz val="10"/>
        <color theme="1"/>
        <rFont val="Arial"/>
        <family val="2"/>
      </rPr>
      <t>Expenditure Category</t>
    </r>
    <r>
      <rPr>
        <sz val="8"/>
        <color theme="1"/>
        <rFont val="Arial"/>
        <family val="2"/>
      </rPr>
      <t>:</t>
    </r>
  </si>
  <si>
    <t>13. Program, Placement, Service, Strategy, or System Enhancement</t>
  </si>
  <si>
    <r>
      <rPr>
        <sz val="10"/>
        <color theme="1"/>
        <rFont val="Arial"/>
        <family val="2"/>
      </rPr>
      <t>Expenditure Category</t>
    </r>
    <r>
      <rPr>
        <sz val="8"/>
        <color theme="1"/>
        <rFont val="Arial"/>
        <family val="2"/>
      </rPr>
      <t>:</t>
    </r>
  </si>
  <si>
    <t>14. Program, Placement, Service, Strategy, or System Enhancement</t>
  </si>
  <si>
    <r>
      <rPr>
        <sz val="10"/>
        <color theme="1"/>
        <rFont val="Arial"/>
        <family val="2"/>
      </rPr>
      <t>Expenditure Category</t>
    </r>
    <r>
      <rPr>
        <sz val="8"/>
        <color theme="1"/>
        <rFont val="Arial"/>
        <family val="2"/>
      </rPr>
      <t>:</t>
    </r>
  </si>
  <si>
    <t>15. Program, Placement, Service, Strategy, or System Enhancement</t>
  </si>
  <si>
    <r>
      <rPr>
        <sz val="10"/>
        <color theme="1"/>
        <rFont val="Arial"/>
        <family val="2"/>
      </rPr>
      <t>Expenditure Category</t>
    </r>
    <r>
      <rPr>
        <sz val="8"/>
        <color theme="1"/>
        <rFont val="Arial"/>
        <family val="2"/>
      </rPr>
      <t>:</t>
    </r>
  </si>
  <si>
    <t>16. Program, Placement, Service, Strategy, or System Enhancement</t>
  </si>
  <si>
    <r>
      <rPr>
        <sz val="10"/>
        <color theme="1"/>
        <rFont val="Arial"/>
        <family val="2"/>
      </rPr>
      <t>Expenditure Category</t>
    </r>
    <r>
      <rPr>
        <sz val="8"/>
        <color theme="1"/>
        <rFont val="Arial"/>
        <family val="2"/>
      </rPr>
      <t>:</t>
    </r>
  </si>
  <si>
    <t>17. Program, Placement, Service, Strategy, or System Enhancement</t>
  </si>
  <si>
    <r>
      <rPr>
        <sz val="10"/>
        <color theme="1"/>
        <rFont val="Arial"/>
        <family val="2"/>
      </rPr>
      <t>Expenditure Category</t>
    </r>
    <r>
      <rPr>
        <sz val="8"/>
        <color theme="1"/>
        <rFont val="Arial"/>
        <family val="2"/>
      </rPr>
      <t>:</t>
    </r>
  </si>
  <si>
    <t>18. Program, Placement, Service, Strategy, or System Enhancement</t>
  </si>
  <si>
    <r>
      <rPr>
        <sz val="10"/>
        <color theme="1"/>
        <rFont val="Arial"/>
        <family val="2"/>
      </rPr>
      <t>Expenditure Category</t>
    </r>
    <r>
      <rPr>
        <sz val="8"/>
        <color theme="1"/>
        <rFont val="Arial"/>
        <family val="2"/>
      </rPr>
      <t>:</t>
    </r>
  </si>
  <si>
    <t>19. Program, Placement, Service, Strategy, or System Enhancement</t>
  </si>
  <si>
    <r>
      <rPr>
        <sz val="10"/>
        <color theme="1"/>
        <rFont val="Arial"/>
        <family val="2"/>
      </rPr>
      <t>Expenditure Category</t>
    </r>
    <r>
      <rPr>
        <sz val="8"/>
        <color theme="1"/>
        <rFont val="Arial"/>
        <family val="2"/>
      </rPr>
      <t>:</t>
    </r>
  </si>
  <si>
    <t>20. Program, Placement, Service, Strategy, or System Enhancement</t>
  </si>
  <si>
    <r>
      <rPr>
        <sz val="10"/>
        <color theme="1"/>
        <rFont val="Arial"/>
        <family val="2"/>
      </rPr>
      <t>Expenditure Category</t>
    </r>
    <r>
      <rPr>
        <sz val="8"/>
        <color theme="1"/>
        <rFont val="Arial"/>
        <family val="2"/>
      </rPr>
      <t>:</t>
    </r>
  </si>
  <si>
    <t>21. Program, Placement, Service, Strategy, or System Enhancement</t>
  </si>
  <si>
    <r>
      <rPr>
        <sz val="10"/>
        <color theme="1"/>
        <rFont val="Arial"/>
        <family val="2"/>
      </rPr>
      <t>Expenditure Category</t>
    </r>
    <r>
      <rPr>
        <sz val="8"/>
        <color theme="1"/>
        <rFont val="Arial"/>
        <family val="2"/>
      </rPr>
      <t>:</t>
    </r>
  </si>
  <si>
    <t>22. Program, Placement, Service, Strategy, or System Enhancement</t>
  </si>
  <si>
    <r>
      <rPr>
        <sz val="10"/>
        <color theme="1"/>
        <rFont val="Arial"/>
        <family val="2"/>
      </rPr>
      <t>Expenditure Category</t>
    </r>
    <r>
      <rPr>
        <sz val="8"/>
        <color theme="1"/>
        <rFont val="Arial"/>
        <family val="2"/>
      </rPr>
      <t>:</t>
    </r>
  </si>
  <si>
    <t>23. Program, Placement, Service, Strategy, or System Enhancement</t>
  </si>
  <si>
    <r>
      <rPr>
        <sz val="10"/>
        <color theme="1"/>
        <rFont val="Arial"/>
        <family val="2"/>
      </rPr>
      <t>Expenditure Category</t>
    </r>
    <r>
      <rPr>
        <sz val="8"/>
        <color theme="1"/>
        <rFont val="Arial"/>
        <family val="2"/>
      </rPr>
      <t>:</t>
    </r>
  </si>
  <si>
    <t>24. Program, Placement, Service, Strategy, or System Enhancement</t>
  </si>
  <si>
    <r>
      <rPr>
        <sz val="10"/>
        <color theme="1"/>
        <rFont val="Arial"/>
        <family val="2"/>
      </rPr>
      <t>Expenditure Category</t>
    </r>
    <r>
      <rPr>
        <sz val="8"/>
        <color theme="1"/>
        <rFont val="Arial"/>
        <family val="2"/>
      </rPr>
      <t>:</t>
    </r>
  </si>
  <si>
    <t>25. Program, Placement, Service, Strategy, or System Enhancement</t>
  </si>
  <si>
    <r>
      <rPr>
        <sz val="10"/>
        <color theme="1"/>
        <rFont val="Arial"/>
        <family val="2"/>
      </rPr>
      <t>Expenditure Category</t>
    </r>
    <r>
      <rPr>
        <sz val="8"/>
        <color theme="1"/>
        <rFont val="Arial"/>
        <family val="2"/>
      </rPr>
      <t>:</t>
    </r>
  </si>
  <si>
    <t>26. Program, Placement, Service, Strategy, or System Enhancement</t>
  </si>
  <si>
    <r>
      <rPr>
        <sz val="10"/>
        <color theme="1"/>
        <rFont val="Arial"/>
        <family val="2"/>
      </rPr>
      <t>Expenditure Category</t>
    </r>
    <r>
      <rPr>
        <sz val="8"/>
        <color theme="1"/>
        <rFont val="Arial"/>
        <family val="2"/>
      </rPr>
      <t>:</t>
    </r>
  </si>
  <si>
    <t>27. Program, Placement, Service, Strategy, or System Enhancement</t>
  </si>
  <si>
    <r>
      <rPr>
        <sz val="10"/>
        <color theme="1"/>
        <rFont val="Arial"/>
        <family val="2"/>
      </rPr>
      <t>Expenditure Category</t>
    </r>
    <r>
      <rPr>
        <sz val="8"/>
        <color theme="1"/>
        <rFont val="Arial"/>
        <family val="2"/>
      </rPr>
      <t>:</t>
    </r>
  </si>
  <si>
    <t>28. Program, Placement, Service, Strategy, or System Enhancement</t>
  </si>
  <si>
    <r>
      <rPr>
        <sz val="10"/>
        <color theme="1"/>
        <rFont val="Arial"/>
        <family val="2"/>
      </rPr>
      <t>Expenditure Category</t>
    </r>
    <r>
      <rPr>
        <sz val="8"/>
        <color theme="1"/>
        <rFont val="Arial"/>
        <family val="2"/>
      </rPr>
      <t>:</t>
    </r>
  </si>
  <si>
    <t>29. Program, Placement, Service, Strategy, or System Enhancement</t>
  </si>
  <si>
    <r>
      <rPr>
        <sz val="10"/>
        <color theme="1"/>
        <rFont val="Arial"/>
        <family val="2"/>
      </rPr>
      <t>Expenditure Category</t>
    </r>
    <r>
      <rPr>
        <sz val="8"/>
        <color theme="1"/>
        <rFont val="Arial"/>
        <family val="2"/>
      </rPr>
      <t>:</t>
    </r>
  </si>
  <si>
    <t>30. Program, Placement, Service, Strategy, or System Enhancement</t>
  </si>
  <si>
    <r>
      <rPr>
        <sz val="10"/>
        <color theme="1"/>
        <rFont val="Arial"/>
        <family val="2"/>
      </rPr>
      <t>Expenditure Category</t>
    </r>
    <r>
      <rPr>
        <sz val="8"/>
        <color theme="1"/>
        <rFont val="Arial"/>
        <family val="2"/>
      </rPr>
      <t>:</t>
    </r>
  </si>
  <si>
    <t>FOR BSCC USE ONLY</t>
  </si>
  <si>
    <r>
      <rPr>
        <b/>
        <sz val="10"/>
        <color rgb="FFFFFFFF"/>
        <rFont val="Arial"/>
        <family val="2"/>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family val="2"/>
      </rPr>
      <t>Report 1 TOTALS</t>
    </r>
  </si>
  <si>
    <t>Sex (Male &amp; Female)</t>
  </si>
  <si>
    <t>Race/Ethnic Group</t>
  </si>
  <si>
    <t>(Optional)</t>
  </si>
  <si>
    <r>
      <rPr>
        <b/>
        <sz val="10"/>
        <color rgb="FFFFFFFF"/>
        <rFont val="Arial"/>
        <family val="2"/>
      </rPr>
      <t xml:space="preserve">Juvenile Court Dispositions Resulting From Petitions for Delinquesnt Acts, January 1 - December 31, 2016
</t>
    </r>
    <r>
      <rPr>
        <b/>
        <sz val="9"/>
        <color rgb="FFFFFFFF"/>
        <rFont val="Arial"/>
        <family val="2"/>
      </rPr>
      <t>Age by Petition Type, Sex, Race/Ethnic Group, Defense Representation, Court Disposition and Wardship Placement</t>
    </r>
    <r>
      <rPr>
        <b/>
        <sz val="10"/>
        <color rgb="FFFFFFFF"/>
        <rFont val="Arial"/>
        <family val="2"/>
      </rPr>
      <t xml:space="preserve">
</t>
    </r>
    <r>
      <rPr>
        <b/>
        <sz val="14"/>
        <color rgb="FFFFFFFF"/>
        <rFont val="Arial"/>
        <family val="2"/>
      </rPr>
      <t>Report 3 TOTALS</t>
    </r>
  </si>
  <si>
    <r>
      <rPr>
        <b/>
        <i/>
        <sz val="11"/>
        <color theme="0"/>
        <rFont val="Arial"/>
        <family val="2"/>
      </rP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</si>
  <si>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</si>
  <si>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</si>
  <si>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</si>
  <si>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</si>
  <si>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</si>
  <si>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</si>
  <si>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</si>
  <si>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</si>
  <si>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</si>
  <si>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</si>
  <si>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</si>
  <si>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</si>
  <si>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</si>
  <si>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</si>
  <si>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</si>
  <si>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</si>
  <si>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</si>
  <si>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</si>
  <si>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</si>
  <si>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</si>
  <si>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</si>
  <si>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</si>
  <si>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</si>
  <si>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</si>
  <si>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</si>
  <si>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</si>
  <si>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</si>
  <si>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family val="2"/>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</si>
  <si>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</si>
  <si>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</si>
  <si>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family val="2"/>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</si>
  <si>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</si>
  <si>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</si>
  <si>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</si>
  <si>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</si>
  <si>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</si>
  <si>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family val="2"/>
      </rPr>
      <t>1.</t>
    </r>
    <r>
      <rPr>
        <sz val="9"/>
        <color theme="1"/>
        <rFont val="Arial"/>
        <family val="2"/>
      </rPr>
      <t xml:space="preserve">  Is your Juvenile Justice Coordinating Council aware of your planned YOBG expenditures?</t>
    </r>
  </si>
  <si>
    <r>
      <rPr>
        <sz val="10"/>
        <color theme="1"/>
        <rFont val="Arial"/>
        <family val="2"/>
      </rPr>
      <t>2.</t>
    </r>
    <r>
      <rPr>
        <sz val="10"/>
        <color theme="1"/>
        <rFont val="Arial"/>
        <family val="2"/>
      </rPr>
      <t xml:space="preserve"> Were there specific discussions related to coordination between JJCPA and YOBG?</t>
    </r>
  </si>
  <si>
    <r>
      <rPr>
        <sz val="10"/>
        <color theme="1"/>
        <rFont val="Arial"/>
        <family val="2"/>
      </rPr>
      <t>3.</t>
    </r>
    <r>
      <rPr>
        <sz val="10"/>
        <color theme="1"/>
        <rFont val="Arial"/>
        <family val="2"/>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</si>
  <si>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</si>
  <si>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</si>
  <si>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family val="2"/>
      </rPr>
      <t xml:space="preserve">This concludes the application.  </t>
    </r>
    <r>
      <rPr>
        <b/>
        <sz val="10"/>
        <color theme="1"/>
        <rFont val="Arial"/>
        <family val="2"/>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</si>
  <si>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</si>
  <si>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</si>
  <si>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</si>
  <si>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</si>
  <si>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</si>
  <si>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</si>
  <si>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</si>
  <si>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</si>
  <si>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</si>
  <si>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</si>
  <si>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</si>
  <si>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</si>
  <si>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</si>
  <si>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</si>
  <si>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</si>
  <si>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</si>
  <si>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</si>
  <si>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</si>
  <si>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</si>
  <si>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</si>
  <si>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</si>
  <si>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</si>
  <si>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</si>
  <si>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</si>
  <si>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</si>
  <si>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</si>
  <si>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</si>
  <si>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</si>
  <si>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</si>
  <si>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</si>
  <si>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</si>
  <si>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</si>
  <si>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</si>
  <si>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</si>
  <si>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</si>
  <si>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</si>
  <si>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</si>
  <si>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</si>
  <si>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</si>
  <si>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</si>
  <si>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</si>
  <si>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</si>
  <si>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</si>
  <si>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</si>
  <si>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</si>
  <si>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</si>
  <si>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</si>
  <si>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</si>
  <si>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</si>
  <si>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</si>
  <si>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</si>
  <si>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</si>
  <si>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</si>
  <si>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</si>
  <si>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</si>
  <si>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</si>
  <si>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</si>
  <si>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</si>
  <si>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</si>
  <si>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</si>
  <si>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</si>
  <si>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</si>
  <si>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</si>
  <si>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</si>
  <si>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</si>
  <si>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</si>
  <si>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</si>
  <si>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</si>
  <si>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</si>
  <si>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</si>
  <si>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</si>
  <si>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</si>
  <si>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</si>
  <si>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</si>
  <si>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</si>
  <si>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</si>
  <si>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</si>
  <si>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</si>
  <si>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</si>
  <si>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</si>
  <si>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</si>
  <si>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</si>
  <si>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</si>
  <si>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</si>
  <si>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</si>
  <si>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</si>
  <si>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</si>
  <si>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</si>
  <si>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</si>
  <si>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</si>
  <si>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</si>
  <si>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</si>
  <si>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</si>
  <si>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</si>
  <si>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</si>
  <si>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</si>
  <si>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</si>
  <si>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</si>
  <si>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</si>
  <si>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</si>
  <si>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</si>
  <si>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</si>
  <si>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</si>
  <si>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</si>
  <si>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</si>
  <si>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</si>
  <si>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</si>
  <si>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</si>
  <si>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</si>
  <si>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</si>
  <si>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</si>
  <si>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</si>
  <si>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</si>
  <si>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</si>
  <si>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</si>
  <si>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</si>
  <si>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</si>
  <si>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</si>
  <si>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</si>
  <si>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</si>
  <si>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</si>
  <si>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</si>
  <si>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</si>
  <si>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</si>
  <si>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</si>
  <si>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</si>
  <si>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</si>
  <si>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</si>
  <si>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</si>
  <si>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</si>
  <si>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</si>
  <si>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</si>
  <si>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</si>
  <si>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</si>
  <si>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</si>
  <si>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</si>
  <si>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</si>
  <si>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</si>
  <si>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</si>
  <si>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</si>
  <si>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</si>
  <si>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</si>
  <si>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</si>
  <si>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</si>
  <si>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</si>
  <si>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</si>
  <si>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</si>
  <si>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</si>
  <si>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</si>
  <si>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</si>
  <si>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</si>
  <si>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</si>
  <si>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</si>
  <si>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</si>
  <si>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</si>
  <si>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</si>
  <si>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</si>
  <si>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</si>
  <si>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</si>
  <si>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</si>
  <si>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</si>
  <si>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</si>
  <si>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</si>
  <si>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</si>
  <si>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</si>
  <si>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</si>
  <si>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</si>
  <si>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</si>
  <si>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</si>
  <si>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</si>
  <si>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</si>
  <si>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</si>
  <si>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</si>
  <si>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</si>
  <si>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</si>
  <si>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</si>
  <si>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</si>
  <si>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</si>
  <si>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</si>
  <si>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</si>
  <si>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</si>
  <si>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</si>
  <si>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</si>
  <si>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</si>
  <si>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</si>
  <si>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</si>
  <si>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</si>
  <si>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</si>
  <si>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</si>
  <si>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</si>
  <si>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</si>
  <si>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</si>
  <si>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</si>
  <si>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</si>
  <si>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</si>
  <si>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</si>
  <si>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</si>
  <si>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</si>
  <si>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</si>
  <si>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</si>
  <si>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</si>
  <si>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</si>
  <si>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</si>
  <si>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</si>
  <si>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</si>
  <si>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</si>
  <si>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</si>
  <si>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</si>
  <si>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</si>
  <si>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</si>
  <si>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</si>
  <si>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</si>
  <si>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</si>
  <si>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</si>
  <si>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</si>
  <si>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</si>
  <si>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</si>
  <si>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</si>
  <si>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</si>
  <si>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</si>
  <si>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</si>
  <si>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</si>
  <si>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</si>
  <si>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</si>
  <si>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</si>
  <si>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</si>
  <si>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</si>
  <si>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</si>
  <si>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</si>
  <si>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</si>
  <si>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</si>
  <si>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</si>
  <si>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</si>
  <si>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</si>
  <si>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</si>
  <si>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</si>
  <si>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</si>
  <si>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</si>
  <si>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</si>
  <si>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</si>
  <si>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</si>
  <si>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</si>
  <si>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</si>
  <si>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</si>
  <si>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</si>
  <si>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</si>
  <si>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</si>
  <si>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</si>
  <si>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</si>
  <si>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</si>
  <si>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</si>
  <si>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</si>
  <si>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</si>
  <si>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</si>
  <si>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</si>
  <si>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</si>
  <si>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</si>
  <si>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</si>
  <si>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</si>
  <si>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</si>
  <si>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</si>
  <si>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</si>
  <si>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</si>
  <si>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</si>
  <si>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</si>
  <si>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</si>
  <si>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</si>
  <si>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</si>
  <si>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</si>
  <si>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</si>
  <si>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</si>
  <si>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</si>
  <si>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</si>
  <si>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</si>
  <si>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</si>
  <si>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</si>
  <si>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</si>
  <si>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</si>
  <si>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</si>
  <si>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</si>
  <si>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</si>
  <si>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</si>
  <si>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</si>
  <si>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</si>
  <si>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</si>
  <si>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</si>
  <si>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</si>
  <si>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</si>
  <si>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</si>
  <si>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</si>
  <si>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</si>
  <si>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</si>
  <si>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</si>
  <si>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</si>
  <si>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</si>
  <si>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</si>
  <si>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</si>
  <si>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</si>
  <si>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</si>
  <si>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</si>
  <si>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</si>
  <si>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</si>
  <si>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</si>
  <si>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</si>
  <si>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</si>
  <si>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</si>
  <si>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</si>
  <si>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</si>
  <si>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</si>
  <si>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</si>
  <si>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</si>
  <si>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</si>
  <si>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</si>
  <si>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</si>
  <si>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</si>
  <si>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</si>
  <si>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</si>
  <si>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</si>
  <si>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</si>
  <si>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</si>
  <si>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</si>
  <si>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</si>
  <si>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</si>
  <si>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</si>
  <si>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</si>
  <si>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</si>
  <si>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</si>
  <si>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</si>
  <si>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</si>
  <si>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</si>
  <si>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</si>
  <si>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</si>
  <si>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</si>
  <si>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</si>
  <si>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</si>
  <si>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</si>
  <si>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</si>
  <si>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</si>
  <si>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</si>
  <si>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</si>
  <si>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</si>
  <si>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</si>
  <si>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</si>
  <si>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</si>
  <si>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</si>
  <si>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</si>
  <si>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</si>
  <si>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</si>
  <si>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</si>
  <si>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</si>
  <si>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</si>
  <si>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</si>
  <si>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</si>
  <si>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</si>
  <si>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</si>
  <si>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</si>
  <si>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</si>
  <si>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</si>
  <si>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</si>
  <si>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</si>
  <si>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</si>
  <si>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</si>
  <si>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</si>
  <si>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</si>
  <si>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</si>
  <si>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</si>
  <si>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</si>
  <si>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</si>
  <si>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</si>
  <si>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</si>
  <si>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</si>
  <si>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</si>
  <si>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</si>
  <si>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</si>
  <si>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</si>
  <si>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</si>
  <si>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</si>
  <si>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</si>
  <si>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</si>
  <si>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</si>
  <si>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</si>
  <si>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</si>
  <si>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</si>
  <si>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</si>
  <si>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</si>
  <si>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</si>
  <si>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</si>
  <si>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</si>
  <si>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</si>
  <si>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</si>
  <si>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</si>
  <si>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</si>
  <si>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</si>
  <si>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</si>
  <si>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</si>
  <si>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</si>
  <si>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</si>
  <si>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</si>
  <si>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</si>
  <si>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</si>
  <si>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</si>
  <si>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</si>
  <si>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</si>
  <si>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</si>
  <si>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</si>
  <si>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</si>
  <si>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</si>
  <si>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</si>
  <si>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</si>
  <si>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</si>
  <si>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</si>
  <si>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</si>
  <si>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</si>
  <si>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</si>
  <si>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</si>
  <si>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</si>
  <si>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</si>
  <si>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</si>
  <si>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</si>
  <si>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</si>
  <si>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</si>
  <si>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</si>
  <si>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</si>
  <si>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</si>
  <si>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</si>
  <si>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</si>
  <si>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</si>
  <si>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</si>
  <si>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</si>
  <si>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</si>
  <si>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</si>
  <si>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</si>
  <si>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</si>
  <si>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</si>
  <si>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</si>
  <si>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</si>
  <si>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</si>
  <si>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</si>
  <si>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</si>
  <si>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</si>
  <si>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</si>
  <si>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</si>
  <si>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</si>
  <si>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</si>
  <si>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</si>
  <si>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</si>
  <si>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</si>
  <si>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</si>
  <si>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</si>
  <si>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</si>
  <si>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</si>
  <si>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</si>
  <si>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</si>
  <si>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</si>
  <si>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</si>
  <si>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</si>
  <si>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</si>
  <si>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</si>
  <si>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</si>
  <si>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</si>
  <si>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</si>
  <si>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</si>
  <si>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</si>
  <si>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</si>
  <si>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</si>
  <si>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</si>
  <si>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</si>
  <si>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</si>
  <si>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</si>
  <si>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</si>
  <si>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</si>
  <si>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</si>
  <si>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</si>
  <si>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</si>
  <si>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</si>
  <si>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</si>
  <si>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</si>
  <si>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</si>
  <si>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</si>
  <si>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</si>
  <si>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</si>
  <si>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</si>
  <si>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</si>
  <si>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</si>
  <si>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</si>
  <si>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</si>
  <si>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</si>
  <si>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</si>
  <si>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</si>
  <si>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</si>
  <si>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</si>
  <si>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</si>
  <si>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</si>
  <si>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</si>
  <si>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</si>
  <si>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</si>
  <si>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</si>
  <si>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</si>
  <si>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</si>
  <si>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</si>
  <si>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</si>
  <si>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</si>
  <si>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</si>
  <si>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</si>
  <si>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</si>
  <si>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</si>
  <si>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</si>
  <si>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</si>
  <si>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</si>
  <si>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</si>
  <si>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</si>
  <si>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</si>
  <si>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</si>
  <si>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</si>
  <si>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</si>
  <si>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</si>
  <si>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</si>
  <si>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</si>
  <si>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</si>
  <si>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</si>
  <si>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</si>
  <si>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</si>
  <si>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</si>
  <si>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</si>
  <si>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</si>
  <si>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</si>
  <si>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</si>
  <si>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</si>
  <si>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</si>
  <si>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</si>
  <si>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</si>
  <si>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</si>
  <si>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</si>
  <si>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</si>
  <si>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</si>
  <si>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</si>
  <si>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</si>
  <si>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</si>
  <si>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</si>
  <si>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</si>
  <si>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</si>
  <si>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</si>
  <si>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</si>
  <si>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</si>
  <si>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</si>
  <si>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</si>
  <si>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</si>
  <si>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</si>
  <si>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</si>
  <si>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</si>
  <si>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</si>
  <si>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</si>
  <si>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</si>
  <si>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</si>
  <si>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</si>
  <si>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</si>
  <si>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</si>
  <si>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</si>
  <si>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</si>
  <si>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</si>
  <si>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</si>
  <si>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</si>
  <si>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</si>
  <si>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</si>
  <si>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</si>
  <si>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</si>
  <si>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</si>
  <si>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</si>
  <si>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</si>
  <si>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</si>
  <si>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</si>
  <si>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</si>
  <si>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</si>
  <si>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</si>
  <si>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</si>
  <si>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</si>
  <si>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</si>
  <si>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</si>
  <si>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</si>
  <si>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</si>
  <si>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</si>
  <si>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</si>
  <si>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</si>
  <si>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</si>
  <si>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</si>
  <si>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</si>
  <si>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</si>
  <si>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</si>
  <si>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</si>
  <si>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</si>
  <si>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</si>
  <si>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</si>
  <si>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</si>
  <si>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</si>
  <si>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</si>
  <si>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</si>
  <si>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</si>
  <si>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</si>
  <si>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</si>
  <si>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</si>
  <si>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</si>
  <si>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</si>
  <si>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</si>
  <si>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</si>
  <si>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</si>
  <si>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</si>
  <si>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</si>
  <si>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</si>
  <si>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</si>
  <si>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</si>
  <si>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</si>
  <si>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</si>
  <si>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</si>
  <si>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</si>
  <si>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</si>
  <si>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</si>
  <si>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</si>
  <si>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</si>
  <si>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</si>
  <si>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</si>
  <si>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</si>
  <si>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</si>
  <si>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</si>
  <si>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</si>
  <si>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</si>
  <si>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</si>
  <si>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</si>
  <si>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</si>
  <si>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</si>
  <si>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</si>
  <si>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</si>
  <si>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</si>
  <si>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</si>
  <si>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</si>
  <si>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</si>
  <si>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</si>
  <si>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</si>
  <si>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</si>
  <si>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</si>
  <si>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</si>
  <si>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</si>
  <si>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</si>
  <si>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</si>
  <si>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</si>
  <si>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</si>
  <si>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</si>
  <si>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</si>
  <si>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</si>
  <si>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</si>
  <si>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</si>
  <si>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</si>
  <si>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</si>
  <si>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</si>
  <si>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</si>
  <si>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</si>
  <si>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</si>
  <si>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</si>
  <si>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</si>
  <si>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</si>
  <si>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</si>
  <si>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</si>
  <si>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</si>
  <si>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</si>
  <si>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</si>
  <si>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</si>
  <si>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</si>
  <si>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</si>
  <si>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</si>
  <si>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</si>
  <si>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</si>
  <si>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</si>
  <si>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</si>
  <si>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</si>
  <si>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</si>
  <si>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</si>
  <si>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</si>
  <si>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</si>
  <si>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</si>
  <si>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</si>
  <si>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</si>
  <si>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</si>
  <si>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</si>
  <si>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</si>
  <si>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</si>
  <si>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</si>
  <si>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</si>
  <si>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family val="2"/>
      </rPr>
      <t>Age by Petition Type, Sex, Race/Ethnic Group, Defense Representation, Court Disposition and Wardship Placement</t>
    </r>
    <r>
      <rPr>
        <b/>
        <sz val="10"/>
        <color rgb="FFFFFFFF"/>
        <rFont val="Arial"/>
        <family val="2"/>
      </rPr>
      <t xml:space="preserve">
Report 3</t>
    </r>
  </si>
  <si>
    <r>
      <t>Referrals of Juveniles to Probation Departments for Delinquent Acts, January 1 - December 31, 202</t>
    </r>
    <r>
      <rPr>
        <b/>
        <sz val="10"/>
        <rFont val="Arial"/>
        <family val="2"/>
      </rPr>
      <t>3</t>
    </r>
    <r>
      <rPr>
        <b/>
        <sz val="10"/>
        <color rgb="FFFFFFFF"/>
        <rFont val="Arial"/>
        <family val="2"/>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</si>
  <si>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</si>
  <si>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</si>
  <si>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Coral Sanders</t>
  </si>
  <si>
    <t>Chief Probation Officer</t>
  </si>
  <si>
    <t>707-445-7401</t>
  </si>
  <si>
    <t>csanders@co.humboldt.ca.us</t>
  </si>
  <si>
    <t>Megan Gotcher</t>
  </si>
  <si>
    <t>Juvenile Division Director</t>
  </si>
  <si>
    <t>mgotcher@co.humboldt.ca.us</t>
  </si>
  <si>
    <t>New Horizons</t>
  </si>
  <si>
    <t>HCPD saw 27 fewer petitions filed by the District Attorney. Historically, HCPD has a disproportionate number of Indian youth represented, and the data reflects an increase in the proportion of Indian youth filed on by 3% over last year. Active efforts to identify and connect ICWA youth to tribes continues. HCPD requires juvenile officers to attend ICWA trainings, Cultural Competency/Diversity, and Implicit Bias. HCPD screens each youth presented for detention using the DRAI, which does not consider race or ethnicity. HCPD had two youth in the SYTP, which took the place of DJJ.</t>
  </si>
  <si>
    <t>Humboldt Bridges To Success</t>
  </si>
  <si>
    <t xml:space="preserve">Ink People </t>
  </si>
  <si>
    <t>Primary Assessment and Interventions for Reducing Recidivism (PAIRR)</t>
  </si>
  <si>
    <t xml:space="preserve">The following abbreviations are used throughout the report. Qualified Individual (QI), Secure Youth Treatment Program (SYTP), Family Resource Center (FRC), Humboldt County Probation Department (HCPD), Family First Prevention Services Act (FFPSA), Evidence Based Practices (EBP), Short Term Residential Therapeutic Program (STRTP), Detentions Risk Assessment Instrument (DRAI), Comprehensive Prevention Plan (CPP), Positive Achievement Change Tool (PACT), Inter-Agency Placement Committee (IPC), Student Attendance Review Board (SARB), and Child Family Team Meeting (CFT). 
In 2023, there was a significant increase in the number of diversion contracts entered into compared to the year prior. Fifty-four youth in total were diverted from the court system and higher levels of supervisions. Inversely, the number of youth placed on formal probation with or without wardship decreased, meaning less youth are being placed on higher levels of supervision when a petition is filed in the juvenile court system. 
JJCPA funds are used in part to support two sworn positions within the Department and that allows implementation of the Primary Assessment and Interventions for Reducing Recidivism (PAIRR) strategy developed by HCPD. This strategy takes youth who are determined to be at low risk for reoffending using a pre-PACT assessment and diverts them to community-based supports and programming to prevent higher level system involvement whenever possible. 
One of the positions funded by JJCPA dollars is a diversion officer, who attends monthly SARB meetings between youth, family, education providers, law enforcement officers and other board members to identify barriers to success and solutions to these barriers. 
This same diversion officer also partners with a local middle school and law enforcement to facilitate The Parent Project™, which is a 10-week course for parents to develop the skills and resources needed to appropriately support their child and correct behaviors that could lead to high-risk decisions. 
As a part of this strategy, HCPD has developed a partnership with the local Boys and Girls Club of the Redwoods and uses JJCPA dollars to fund their Teen Court program. This is a peer-based remedial program that teaches youth about the court process under the supervision of a volunteer judge and attorney mentors and allows their peer group to fill the roles within the mock court system and determine appropriate consequences for their actions. This allows youth to avoid formal court proceedings and build a peer support group through pro-social engagement. 
The data presented shows a sizeable decrease in the number of petitions filed, and when they are filed, less are resulting in high level supervisions. The early intervention and prevention efforts funded by JJCPA may explain this decrease. 
Throughout the report, it is still evident that Humboldt County has a disproportionate number of Native youth represented. One way in which HCPD addresses this disproportionality is by inviting local law enforcement agencies to participate in division meetings to discuss any concerns for particular youth or trends observed in the community, as well as having officers participate in cultural sensitivity trainings.
</t>
  </si>
  <si>
    <t>Boys &amp; Girls Clubs of the Redwoods Contract Expenditures</t>
  </si>
  <si>
    <t xml:space="preserve">Ink People provides professional artist mentors and instruction to residents of the juvenile hall, as one of the pro-social enrichment  activities in the New Horizons program.  The arts taught include origami, painting, aerosol art, music, and poetry. Some of the programming results in youth art being displayed in the community. Upon release youth can view these works of art knowing they had a hand in the project. Youth can continue to participate in the Ink People's Medica Arts Resource Zone (MARZ) Project as they re-enter society with established pro-social activities. Youth have the opportunity to begin a project while detained and possibly complete the project once released. This contract allows for up to $30,000.
 </t>
  </si>
  <si>
    <t xml:space="preserve"> </t>
  </si>
  <si>
    <r>
      <t>The petitions filed decreased from last year. Gender identity is reported here as provided by the arresting agency. HCPD has developed a non-binary option to be inclusive, but that does not impact the data as reported here. No significant differences are noted in the representation of race/ethnic groups as compared to the previous year. The data provided for 2023 reflects new Humboldt County law enforcement petitions filed by the District Attorney. There is discrepancy between HCPD's internal database and reports from JCPSS.  HCPD documented 289 received referrals from local law enforcement agencies on 200 youth in the year 2023.  234 were entered into JCPSS with 44 of those referrals being filed on by the District Attorney.</t>
    </r>
    <r>
      <rPr>
        <sz val="10"/>
        <rFont val="Arial"/>
        <family val="2"/>
      </rPr>
      <t xml:space="preserve">                       </t>
    </r>
  </si>
  <si>
    <t xml:space="preserve">Similar to previous years the Open Justice data appears to be under reported.                    
Internal records indicate HCPD received 289 referrals from law enforcement agencies in 2023. Asian = 3, Black = 15, His/Ltn = 49, Native = 64, Pacific Isl. = 2, other = 3, White = 153; Female = 111, Male = 178
234 referrals were documented in JCPSS and 110 were recorded by external law enforcement agencies in Open Justice. 
Efforts were made to collect the optional data in the tables above, but technical difficulties prevented the collection.
Overall the data reflects a slight decrease in the number of youth presenting for criminal offenses. </t>
  </si>
  <si>
    <t xml:space="preserve">JJCPA funds support a continuum of juvenile justice services based on a youths risk to reoffend. JJCPA funds support a department diversion program, PAIRR, including an assigned Deputy Probation Officer and a Supervising Probation Officer. The PAIRR officer meets with a youth and their family while completing an assessment to determine risk to reoffend. Youth at low level risk to reoffend are provided referrals for interventions such as counseling services, admonished for their behavior or referred to CBOs for participation in pro-social activities in the community, such as Teen Court. Parents may also be referred to Parent Project, a parenting course designed to support parents of teens. Youth owing victim restitution or at moderate risk to reoffend may be placed on a diversion or information probation contract. Once a youth completes the contract including making victim reparations, the case is closed and the matter is sealed allowing the youth to proceed life without a criminal history.  
The assigned officer to the diversion program is familiar with community providers and services. Additionally, the officer participates in various school district monthly School Attendance Review Board (SARB) meetings. The board includes youth, family, education providers, officers and other board members working to identify barriers to success and attempts to assist the family in problem solving. Additionally, the officer is a Parent Project facilitator supporting parents in the county through the diversion process.    
</t>
  </si>
  <si>
    <t xml:space="preserve">YOBG funding is used to support the New Horizons Program, which is a secure commitment program geared toward youth with mental health diagnoses.  The program has capacity for up to six youth and is operated within the 30 bed juvenile hall facility.  Youth in this program have access to Children's Behavioral Health for individualized and family counseling, Aggression Replacement Therapy, Substance Use Disorder treatment, independent living skills, and educational resources.  New Horizons is designed to be a six month program.
This program provides a secure treatment facility and allows youth to receive services and remain close to home. This encourages family engagement through family counseling. In addition, this allows the youth and family to apply the new skills learned while in the program on weekend passes in the family home. The New Horizons Program reduces juvenile criminal activities by offering programing to the highest risk to reoffend, who have often already received lower level services. The program serves youth who are at imminent risk of being removed from the family home. New Horizons offers an alternative to sending youth to an STRTP, of which there are none in Humboldt County.  For Humboldt County youth, placement in an STRTP means being several hours from home, making New Horizons a desirable alternative for youth working to reunite with family or local supports.  By allowing families to participate in intensive programming in the New Horizons Program the family unit remains in the same county. They participate in weekly family counseling, twice a week family visitation, and family passes. New Horizons supports reunification and offers pro-social alternatives to resolve family concerns. Community Based Organizations provide pro-social community activities.
</t>
  </si>
  <si>
    <t xml:space="preserve">The Boys &amp; Girls Clubs of the Redwoods is a youth development program for youth age six to eighteen. This includes an afterschool program providing a safe place, homework assistance, warm meal, and fun activities, and also supports Teen Court and the Friendship, Future, Fun (FFF) programs.
Teen court is a diversion program for first time juvenile offenders. This is a real court run by teen volunteers, guided by adult mentors. Youth jurors hear the youths story and develop an appropriate rehabilitative consequence. This youth led restorative practice is intended to enfold the youth in the community in pro-social act ivies.  HCPD provides two methods of funding to Teen Court.  One is a Basic Support Contract of $5,000.00, which supports the original Teen Court program in Eureka, Ca.  That program has been in operation since 2001, and partners with HCPD to support diversion level actions for youth at low risk to reoffend. More recently, Teen Court expanded to Fortuna, which was an underserved area within the county. HCPD has used JJCPA funds in the amount of $65,528.16 to provide a grant for the Teen Court expansion in 2023. HCPD had budgeted $75,180.00 to this cause. 
Friendship, Future, Fun (FFF) is a program to redirect youth, prevent juvenile delinquency, and prepare youth for their future. FFF offers recreation and education opportunities with a focus on future planning. The target population is 7th to 12th graders. In the name Friendship, Future, Fun, friendship is represented through access to the friendship lounge; future is embodied through focus on employment and academic success; and fun is realized through access to recreational activities that would otherwise be financially inaccessible.  HCPD contributed $91,809.72 with a budget of $150,000. </t>
  </si>
  <si>
    <t xml:space="preserve">Humboldt Bridges to Success was developed through a Mental Health Services Oversight and Accountability Commission grant and led to regionally based crisis triage teams designed to be readily accessible to students. The teams included county mental health clinicians and school district staff providing crisis response and linkage to services for students throughout the county. This program sunset in 2022 but was identified as a vital service to youth and families in Humboldt County. On February 23, 2023, the Multi-Agency Juvenile Justice Coordinating Council proposed a modification to the JJCPA plan to include funding for two full time mental health clinicians to continue providing students access to crisis response. The is a two year agreement spanning fiscal years 2023-2024 and 2024-2025 and is funded with JJCPA growth funds from prior fiscal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</si>
</sst>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61">
    <font>
      <sz val="10"/>
      <color rgb="FF000000"/>
      <name val="Arial"/>
      <scheme val="minor"/>
    </font>
    <font>
      <sz val="10"/>
      <color theme="1"/>
      <name val="Arial"/>
      <family val="2"/>
    </font>
    <font>
      <sz val="10"/>
      <name val="Arial"/>
      <family val="2"/>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amily val="2"/>
    </font>
    <font>
      <b/>
      <i/>
      <sz val="12"/>
      <color theme="1"/>
      <name val="Arial"/>
      <family val="2"/>
    </font>
    <font>
      <b/>
      <i/>
      <sz val="11"/>
      <color theme="0"/>
      <name val="Arial"/>
      <family val="2"/>
    </font>
    <font>
      <b/>
      <sz val="10"/>
      <color rgb="FFFFFFFF"/>
      <name val="Arial"/>
      <family val="2"/>
    </font>
    <font>
      <b/>
      <sz val="11"/>
      <color rgb="FFFFFFFF"/>
      <name val="Arial"/>
      <family val="2"/>
    </font>
    <font>
      <u/>
      <sz val="11"/>
      <color rgb="FFFFFFFF"/>
      <name val="Arial"/>
      <family val="2"/>
    </font>
    <font>
      <b/>
      <u/>
      <sz val="11"/>
      <color theme="1"/>
      <name val="Calibri"/>
      <family val="2"/>
    </font>
    <font>
      <b/>
      <u/>
      <sz val="11"/>
      <color rgb="FF002060"/>
      <name val="Arial"/>
      <family val="2"/>
    </font>
    <font>
      <b/>
      <u/>
      <sz val="11"/>
      <color theme="1"/>
      <name val="Arial"/>
      <family val="2"/>
    </font>
    <font>
      <sz val="11"/>
      <color theme="1"/>
      <name val="Calibri"/>
      <family val="2"/>
    </font>
    <font>
      <sz val="11"/>
      <color theme="1"/>
      <name val="Arial"/>
      <family val="2"/>
    </font>
    <font>
      <b/>
      <sz val="11"/>
      <color theme="1"/>
      <name val="Calibri"/>
      <family val="2"/>
    </font>
    <font>
      <b/>
      <sz val="10"/>
      <color theme="1"/>
      <name val="Arial"/>
      <family val="2"/>
    </font>
    <font>
      <b/>
      <u/>
      <sz val="11"/>
      <color theme="1"/>
      <name val="Arial"/>
      <family val="2"/>
    </font>
    <font>
      <i/>
      <sz val="10"/>
      <color theme="1"/>
      <name val="Arial"/>
      <family val="2"/>
    </font>
    <font>
      <b/>
      <i/>
      <sz val="10"/>
      <color theme="1"/>
      <name val="Arial"/>
      <family val="2"/>
    </font>
    <font>
      <sz val="11"/>
      <color rgb="FF92D050"/>
      <name val="Calibri"/>
      <family val="2"/>
    </font>
    <font>
      <b/>
      <u/>
      <sz val="11"/>
      <color theme="1"/>
      <name val="Calibri"/>
      <family val="2"/>
    </font>
    <font>
      <b/>
      <sz val="11"/>
      <color theme="1"/>
      <name val="Arial"/>
      <family val="2"/>
    </font>
    <font>
      <b/>
      <u/>
      <sz val="11"/>
      <color theme="1"/>
      <name val="Arial"/>
      <family val="2"/>
    </font>
    <font>
      <b/>
      <u/>
      <sz val="11"/>
      <color rgb="FF002060"/>
      <name val="Arial"/>
      <family val="2"/>
    </font>
    <font>
      <b/>
      <u/>
      <sz val="11"/>
      <color rgb="FF002060"/>
      <name val="Arial"/>
      <family val="2"/>
    </font>
    <font>
      <b/>
      <sz val="9"/>
      <color theme="1"/>
      <name val="Arial"/>
      <family val="2"/>
    </font>
    <font>
      <b/>
      <i/>
      <sz val="11"/>
      <color theme="1"/>
      <name val="Arial"/>
      <family val="2"/>
    </font>
    <font>
      <u/>
      <sz val="10"/>
      <color rgb="FF0000FF"/>
      <name val="Arial"/>
      <family val="2"/>
    </font>
    <font>
      <b/>
      <sz val="11"/>
      <color rgb="FFDAEEF3"/>
      <name val="Arial"/>
      <family val="2"/>
    </font>
    <font>
      <b/>
      <u/>
      <sz val="11"/>
      <color theme="1"/>
      <name val="Arial"/>
      <family val="2"/>
    </font>
    <font>
      <b/>
      <u/>
      <sz val="11"/>
      <color theme="1"/>
      <name val="Arial"/>
      <family val="2"/>
    </font>
    <font>
      <b/>
      <sz val="8"/>
      <color theme="1"/>
      <name val="Arial"/>
      <family val="2"/>
    </font>
    <font>
      <sz val="8"/>
      <color theme="1"/>
      <name val="Arial"/>
      <family val="2"/>
    </font>
    <font>
      <b/>
      <i/>
      <sz val="20"/>
      <color theme="1"/>
      <name val="Arial"/>
      <family val="2"/>
    </font>
    <font>
      <b/>
      <sz val="20"/>
      <color theme="1"/>
      <name val="Arial"/>
      <family val="2"/>
    </font>
    <font>
      <b/>
      <u/>
      <sz val="11"/>
      <color theme="1"/>
      <name val="Arial"/>
      <family val="2"/>
    </font>
    <font>
      <b/>
      <sz val="11"/>
      <color rgb="FFFF0000"/>
      <name val="Arial"/>
      <family val="2"/>
    </font>
    <font>
      <sz val="9"/>
      <color theme="1"/>
      <name val="Arial"/>
      <family val="2"/>
    </font>
    <font>
      <sz val="10"/>
      <color theme="1"/>
      <name val="Arial"/>
      <family val="2"/>
      <scheme val="minor"/>
    </font>
    <font>
      <i/>
      <sz val="12"/>
      <color rgb="FFFFFFFF"/>
      <name val="Figtree"/>
    </font>
    <font>
      <b/>
      <sz val="9"/>
      <color rgb="FFFFFFFF"/>
      <name val="Arial"/>
      <family val="2"/>
    </font>
    <font>
      <b/>
      <sz val="14"/>
      <color rgb="FFFFFFFF"/>
      <name val="Arial"/>
      <family val="2"/>
    </font>
    <font>
      <b/>
      <sz val="11"/>
      <color theme="0"/>
      <name val="Arial"/>
      <family val="2"/>
    </font>
    <font>
      <b/>
      <sz val="14"/>
      <color theme="0"/>
      <name val="Arial"/>
      <family val="2"/>
    </font>
    <font>
      <sz val="10"/>
      <color rgb="FFFF0000"/>
      <name val="Figtree"/>
    </font>
    <font>
      <b/>
      <sz val="10"/>
      <color rgb="FFFFFFFF"/>
      <name val="Arial"/>
      <family val="2"/>
    </font>
    <font>
      <b/>
      <sz val="10"/>
      <name val="Arial"/>
      <family val="2"/>
    </font>
    <font>
      <sz val="10"/>
      <name val="Figtree"/>
    </font>
    <font>
      <b/>
      <i/>
      <sz val="11"/>
      <color theme="0"/>
      <name val="Arial"/>
      <family val="2"/>
    </font>
    <font>
      <sz val="10"/>
      <color theme="1"/>
      <name val="Arial"/>
      <family val="2"/>
    </font>
    <font>
      <u/>
      <sz val="10"/>
      <color theme="10"/>
      <name val="Arial"/>
      <family val="2"/>
      <scheme val="minor"/>
    </font>
    <font>
      <b/>
      <i/>
      <sz val="10"/>
      <color theme="0"/>
      <name val="Arial"/>
      <family val="2"/>
    </font>
    <font>
      <sz val="10"/>
      <name val="Arial"/>
      <family val="2"/>
    </font>
    <font>
      <sz val="10"/>
      <color rgb="FF7030A0"/>
      <name val="Arial"/>
      <family val="2"/>
      <scheme val="minor"/>
    </font>
    <font>
      <sz val="10"/>
      <color rgb="FF000000"/>
      <name val="Arial"/>
      <family val="2"/>
      <scheme val="minor"/>
    </font>
  </fonts>
  <fills count="14">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
      <patternFill patternType="solid">
        <fgColor rgb="FF99FF99"/>
        <bgColor indexed="64"/>
      </patternFill>
    </fill>
  </fills>
  <borders count="5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6" fillId="0" borderId="0" applyNumberFormat="0" applyFill="0" applyBorder="0" applyAlignment="0" applyProtection="0"/>
  </cellStyleXfs>
  <cellXfs count="303">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5"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9" xfId="0" applyFont="1" applyBorder="1" applyAlignment="1">
      <alignment horizontal="left"/>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5" fillId="0" borderId="5" xfId="0" applyFont="1" applyBorder="1" applyAlignment="1">
      <alignment vertical="top" wrapText="1"/>
    </xf>
    <xf numFmtId="0" fontId="5" fillId="0" borderId="0" xfId="0" applyFont="1" applyAlignment="1">
      <alignment vertical="top" wrapText="1"/>
    </xf>
    <xf numFmtId="0" fontId="5" fillId="0" borderId="9" xfId="0" applyFont="1" applyBorder="1" applyAlignment="1">
      <alignment vertical="top" wrapText="1"/>
    </xf>
    <xf numFmtId="0" fontId="7" fillId="3" borderId="10" xfId="0" applyFont="1" applyFill="1" applyBorder="1"/>
    <xf numFmtId="0" fontId="7" fillId="3" borderId="11" xfId="0" applyFont="1" applyFill="1" applyBorder="1"/>
    <xf numFmtId="0" fontId="7" fillId="3" borderId="12" xfId="0" applyFont="1" applyFill="1" applyBorder="1"/>
    <xf numFmtId="0" fontId="1" fillId="0" borderId="0" xfId="0" applyFont="1" applyAlignment="1">
      <alignment horizontal="left" vertical="center"/>
    </xf>
    <xf numFmtId="0" fontId="7" fillId="0" borderId="5" xfId="0" applyFont="1" applyBorder="1" applyAlignment="1">
      <alignment horizontal="left"/>
    </xf>
    <xf numFmtId="0" fontId="7" fillId="0" borderId="0" xfId="0" applyFont="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8"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9" fillId="0" borderId="0" xfId="0" applyFont="1" applyAlignment="1">
      <alignment horizontal="right"/>
    </xf>
    <xf numFmtId="0" fontId="10" fillId="0" borderId="0" xfId="0" applyFont="1" applyAlignment="1">
      <alignment horizontal="left"/>
    </xf>
    <xf numFmtId="0" fontId="1" fillId="0" borderId="0" xfId="0" applyFont="1" applyAlignment="1">
      <alignment vertical="center"/>
    </xf>
    <xf numFmtId="0" fontId="12"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15" fillId="0" borderId="5" xfId="0" applyFont="1" applyBorder="1" applyAlignment="1">
      <alignment vertical="center"/>
    </xf>
    <xf numFmtId="0" fontId="16" fillId="0" borderId="0" xfId="0" applyFont="1" applyAlignment="1">
      <alignment horizontal="left" vertical="top"/>
    </xf>
    <xf numFmtId="0" fontId="17" fillId="0" borderId="0" xfId="0" applyFont="1" applyAlignment="1">
      <alignment horizontal="center" vertical="center"/>
    </xf>
    <xf numFmtId="0" fontId="1" fillId="0" borderId="9" xfId="0" applyFont="1" applyBorder="1"/>
    <xf numFmtId="0" fontId="1" fillId="0" borderId="5" xfId="0" applyFont="1" applyBorder="1"/>
    <xf numFmtId="0" fontId="18" fillId="0" borderId="0" xfId="0" applyFont="1"/>
    <xf numFmtId="41" fontId="19" fillId="0" borderId="0" xfId="0" applyNumberFormat="1" applyFont="1"/>
    <xf numFmtId="41" fontId="1" fillId="0" borderId="0" xfId="0" applyNumberFormat="1" applyFont="1"/>
    <xf numFmtId="41" fontId="1" fillId="0" borderId="9" xfId="0" applyNumberFormat="1" applyFont="1" applyBorder="1"/>
    <xf numFmtId="0" fontId="19" fillId="0" borderId="0" xfId="0" applyFont="1" applyAlignment="1">
      <alignment horizontal="left"/>
    </xf>
    <xf numFmtId="41" fontId="19" fillId="0" borderId="0" xfId="0" applyNumberFormat="1" applyFont="1" applyAlignment="1">
      <alignment horizontal="center"/>
    </xf>
    <xf numFmtId="0" fontId="1" fillId="0" borderId="5" xfId="0" applyFont="1" applyBorder="1" applyAlignment="1">
      <alignment vertical="center"/>
    </xf>
    <xf numFmtId="41" fontId="1" fillId="0" borderId="0" xfId="0" applyNumberFormat="1" applyFont="1" applyAlignment="1">
      <alignment vertical="center"/>
    </xf>
    <xf numFmtId="41" fontId="1" fillId="0" borderId="9" xfId="0" applyNumberFormat="1" applyFont="1" applyBorder="1" applyAlignment="1">
      <alignment vertical="center"/>
    </xf>
    <xf numFmtId="0" fontId="22" fillId="0" borderId="0" xfId="0" applyFont="1" applyAlignment="1">
      <alignment horizontal="left" vertical="top"/>
    </xf>
    <xf numFmtId="43" fontId="1" fillId="0" borderId="0" xfId="0" applyNumberFormat="1" applyFont="1"/>
    <xf numFmtId="43" fontId="1" fillId="0" borderId="9" xfId="0" applyNumberFormat="1" applyFont="1" applyBorder="1"/>
    <xf numFmtId="0" fontId="20" fillId="0" borderId="0" xfId="0" applyFont="1"/>
    <xf numFmtId="0" fontId="1" fillId="0" borderId="8" xfId="0" applyFont="1" applyBorder="1"/>
    <xf numFmtId="0" fontId="20" fillId="0" borderId="19" xfId="0" applyFont="1" applyBorder="1"/>
    <xf numFmtId="0" fontId="1" fillId="0" borderId="19" xfId="0" applyFont="1" applyBorder="1"/>
    <xf numFmtId="43" fontId="1" fillId="0" borderId="19" xfId="0" applyNumberFormat="1" applyFont="1" applyBorder="1"/>
    <xf numFmtId="43" fontId="1" fillId="0" borderId="20" xfId="0" applyNumberFormat="1" applyFont="1" applyBorder="1"/>
    <xf numFmtId="0" fontId="21" fillId="0" borderId="0" xfId="0" applyFont="1"/>
    <xf numFmtId="0" fontId="23" fillId="0" borderId="0" xfId="0" applyFont="1" applyAlignment="1">
      <alignment horizontal="left" vertical="center"/>
    </xf>
    <xf numFmtId="0" fontId="23" fillId="0" borderId="0" xfId="0" applyFont="1" applyAlignment="1">
      <alignment horizontal="left"/>
    </xf>
    <xf numFmtId="0" fontId="24" fillId="0" borderId="0" xfId="0" applyFont="1" applyAlignment="1">
      <alignment horizontal="left" vertical="center"/>
    </xf>
    <xf numFmtId="0" fontId="24" fillId="0" borderId="0" xfId="0" applyFont="1" applyAlignment="1">
      <alignment vertical="center"/>
    </xf>
    <xf numFmtId="0" fontId="23" fillId="0" borderId="0" xfId="0" applyFont="1"/>
    <xf numFmtId="0" fontId="25" fillId="0" borderId="0" xfId="0" applyFont="1"/>
    <xf numFmtId="0" fontId="1" fillId="0" borderId="0" xfId="0" applyFont="1" applyAlignment="1">
      <alignment vertical="top"/>
    </xf>
    <xf numFmtId="0" fontId="9" fillId="0" borderId="0" xfId="0" applyFont="1" applyAlignment="1">
      <alignment horizontal="center"/>
    </xf>
    <xf numFmtId="0" fontId="20" fillId="0" borderId="0" xfId="0" applyFont="1" applyAlignment="1">
      <alignment horizontal="center" vertical="center"/>
    </xf>
    <xf numFmtId="0" fontId="20" fillId="0" borderId="9" xfId="0" applyFont="1" applyBorder="1" applyAlignment="1">
      <alignment horizontal="center" wrapText="1"/>
    </xf>
    <xf numFmtId="0" fontId="26" fillId="0" borderId="5" xfId="0" applyFont="1" applyBorder="1"/>
    <xf numFmtId="41" fontId="1" fillId="0" borderId="0" xfId="0" applyNumberFormat="1" applyFont="1" applyAlignment="1">
      <alignment horizontal="center"/>
    </xf>
    <xf numFmtId="41" fontId="1" fillId="0" borderId="9" xfId="0" applyNumberFormat="1" applyFont="1" applyBorder="1" applyAlignment="1">
      <alignment horizontal="center"/>
    </xf>
    <xf numFmtId="0" fontId="20" fillId="0" borderId="0" xfId="0" applyFont="1" applyAlignment="1">
      <alignment horizontal="right" vertical="top"/>
    </xf>
    <xf numFmtId="43" fontId="20" fillId="0" borderId="0" xfId="0" applyNumberFormat="1" applyFont="1" applyAlignment="1">
      <alignment horizontal="center" vertical="center"/>
    </xf>
    <xf numFmtId="41" fontId="1" fillId="0" borderId="19" xfId="0" applyNumberFormat="1" applyFont="1" applyBorder="1" applyAlignment="1">
      <alignment horizontal="center"/>
    </xf>
    <xf numFmtId="41" fontId="1" fillId="0" borderId="20" xfId="0" applyNumberFormat="1" applyFont="1" applyBorder="1" applyAlignment="1">
      <alignment horizontal="center"/>
    </xf>
    <xf numFmtId="0" fontId="1" fillId="0" borderId="0" xfId="0" applyFont="1" applyAlignment="1">
      <alignment horizontal="left" vertical="top"/>
    </xf>
    <xf numFmtId="0" fontId="31" fillId="0" borderId="0" xfId="0" applyFont="1"/>
    <xf numFmtId="0" fontId="21" fillId="0" borderId="0" xfId="0" applyFont="1" applyAlignment="1">
      <alignment horizontal="left" vertical="center"/>
    </xf>
    <xf numFmtId="0" fontId="21" fillId="0" borderId="0" xfId="0" applyFont="1" applyAlignment="1">
      <alignment horizontal="left"/>
    </xf>
    <xf numFmtId="0" fontId="21" fillId="0" borderId="0" xfId="0" applyFont="1" applyAlignment="1">
      <alignment vertical="center"/>
    </xf>
    <xf numFmtId="0" fontId="21" fillId="0" borderId="0" xfId="0" applyFont="1" applyAlignment="1">
      <alignment horizontal="right"/>
    </xf>
    <xf numFmtId="0" fontId="9" fillId="0" borderId="0" xfId="0" applyFont="1" applyAlignment="1">
      <alignment horizontal="center" vertical="center"/>
    </xf>
    <xf numFmtId="0" fontId="10" fillId="0" borderId="0" xfId="0" applyFont="1" applyAlignment="1">
      <alignment horizontal="left" vertical="center"/>
    </xf>
    <xf numFmtId="0" fontId="32" fillId="0" borderId="0" xfId="0" applyFont="1"/>
    <xf numFmtId="0" fontId="34" fillId="0" borderId="0" xfId="0" applyFont="1"/>
    <xf numFmtId="41" fontId="19" fillId="0" borderId="9" xfId="0" applyNumberFormat="1" applyFont="1" applyBorder="1"/>
    <xf numFmtId="0" fontId="35" fillId="0" borderId="0" xfId="0" applyFont="1" applyAlignment="1">
      <alignment vertical="top"/>
    </xf>
    <xf numFmtId="0" fontId="20" fillId="0" borderId="0" xfId="0" applyFont="1" applyAlignment="1">
      <alignment horizontal="right"/>
    </xf>
    <xf numFmtId="0" fontId="36" fillId="0" borderId="9" xfId="0" applyFont="1" applyBorder="1" applyAlignment="1">
      <alignment horizontal="left" vertical="top"/>
    </xf>
    <xf numFmtId="0" fontId="10" fillId="0" borderId="0" xfId="0" applyFont="1"/>
    <xf numFmtId="0" fontId="13" fillId="0" borderId="5" xfId="0" applyFont="1" applyBorder="1" applyAlignment="1">
      <alignment horizontal="center"/>
    </xf>
    <xf numFmtId="0" fontId="13" fillId="0" borderId="0" xfId="0" applyFont="1" applyAlignment="1">
      <alignment horizontal="center"/>
    </xf>
    <xf numFmtId="0" fontId="13" fillId="0" borderId="9" xfId="0" applyFont="1" applyBorder="1" applyAlignment="1">
      <alignment horizontal="center"/>
    </xf>
    <xf numFmtId="0" fontId="1" fillId="0" borderId="31" xfId="0" applyFont="1" applyBorder="1"/>
    <xf numFmtId="0" fontId="37" fillId="0" borderId="31" xfId="0" applyFont="1" applyBorder="1" applyAlignment="1">
      <alignment horizontal="center"/>
    </xf>
    <xf numFmtId="0" fontId="37" fillId="0" borderId="31" xfId="0" applyFont="1" applyBorder="1"/>
    <xf numFmtId="0" fontId="37" fillId="0" borderId="0" xfId="0" applyFont="1"/>
    <xf numFmtId="0" fontId="38" fillId="0" borderId="0" xfId="0" applyFont="1" applyAlignment="1">
      <alignment horizontal="center"/>
    </xf>
    <xf numFmtId="0" fontId="38" fillId="0" borderId="0" xfId="0" applyFont="1"/>
    <xf numFmtId="0" fontId="1"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vertical="top" wrapText="1"/>
    </xf>
    <xf numFmtId="49" fontId="1" fillId="0" borderId="0" xfId="0" applyNumberFormat="1" applyFont="1" applyAlignment="1">
      <alignment horizontal="left" vertical="top" wrapText="1"/>
    </xf>
    <xf numFmtId="0" fontId="1" fillId="0" borderId="19"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14" xfId="0" applyFont="1" applyBorder="1" applyAlignment="1">
      <alignment horizontal="left" vertical="top" wrapText="1"/>
    </xf>
    <xf numFmtId="0" fontId="1" fillId="0" borderId="8" xfId="0" applyFont="1" applyBorder="1" applyAlignment="1">
      <alignment horizontal="center" vertical="center"/>
    </xf>
    <xf numFmtId="0" fontId="1" fillId="0" borderId="5" xfId="0" applyFont="1" applyBorder="1" applyAlignment="1">
      <alignment horizontal="left" vertical="top" wrapText="1"/>
    </xf>
    <xf numFmtId="0" fontId="1" fillId="0" borderId="9" xfId="0" applyFont="1" applyBorder="1" applyAlignment="1">
      <alignment horizontal="left" vertical="top" wrapText="1"/>
    </xf>
    <xf numFmtId="0" fontId="1" fillId="0" borderId="2" xfId="0" applyFont="1" applyBorder="1" applyAlignment="1">
      <alignment horizontal="left" vertical="top" wrapText="1"/>
    </xf>
    <xf numFmtId="0" fontId="40" fillId="0" borderId="0" xfId="0" applyFont="1"/>
    <xf numFmtId="0" fontId="21" fillId="11" borderId="39" xfId="0" applyFont="1" applyFill="1" applyBorder="1" applyAlignment="1">
      <alignment horizontal="center" vertical="center"/>
    </xf>
    <xf numFmtId="41" fontId="21" fillId="11" borderId="39" xfId="0" applyNumberFormat="1" applyFont="1" applyFill="1" applyBorder="1"/>
    <xf numFmtId="0" fontId="19" fillId="0" borderId="0" xfId="0" applyFont="1"/>
    <xf numFmtId="0" fontId="27" fillId="11" borderId="39" xfId="0" applyFont="1" applyFill="1" applyBorder="1" applyAlignment="1">
      <alignment horizontal="center" vertical="center"/>
    </xf>
    <xf numFmtId="0" fontId="1" fillId="10" borderId="7" xfId="0" applyFont="1" applyFill="1" applyBorder="1"/>
    <xf numFmtId="0" fontId="1" fillId="12" borderId="39" xfId="0" applyFont="1" applyFill="1" applyBorder="1"/>
    <xf numFmtId="0" fontId="1" fillId="0" borderId="39" xfId="0" applyFont="1" applyBorder="1"/>
    <xf numFmtId="0" fontId="1" fillId="12" borderId="40" xfId="0" applyFont="1" applyFill="1" applyBorder="1"/>
    <xf numFmtId="0" fontId="1" fillId="12" borderId="41" xfId="0" applyFont="1" applyFill="1" applyBorder="1"/>
    <xf numFmtId="0" fontId="1" fillId="0" borderId="39" xfId="0" applyFont="1" applyBorder="1" applyAlignment="1">
      <alignment horizontal="center"/>
    </xf>
    <xf numFmtId="0" fontId="1" fillId="12" borderId="4" xfId="0" applyFont="1" applyFill="1" applyBorder="1"/>
    <xf numFmtId="0" fontId="1" fillId="12" borderId="40" xfId="0" applyFont="1" applyFill="1" applyBorder="1" applyAlignment="1">
      <alignment horizontal="left"/>
    </xf>
    <xf numFmtId="0" fontId="1" fillId="12" borderId="41" xfId="0" applyFont="1" applyFill="1" applyBorder="1" applyAlignment="1">
      <alignment horizontal="left"/>
    </xf>
    <xf numFmtId="0" fontId="1" fillId="12" borderId="4" xfId="0" applyFont="1" applyFill="1" applyBorder="1" applyAlignment="1">
      <alignment horizontal="left"/>
    </xf>
    <xf numFmtId="0" fontId="43" fillId="12" borderId="41" xfId="0" applyFont="1" applyFill="1" applyBorder="1"/>
    <xf numFmtId="0" fontId="43" fillId="0" borderId="39" xfId="0" applyFont="1" applyBorder="1" applyAlignment="1">
      <alignment horizontal="center"/>
    </xf>
    <xf numFmtId="0" fontId="1" fillId="12" borderId="42" xfId="0" applyFont="1" applyFill="1" applyBorder="1"/>
    <xf numFmtId="0" fontId="1" fillId="12" borderId="7" xfId="0" applyFont="1" applyFill="1" applyBorder="1"/>
    <xf numFmtId="0" fontId="1" fillId="0" borderId="43" xfId="0" applyFont="1" applyBorder="1" applyAlignment="1">
      <alignment horizontal="center"/>
    </xf>
    <xf numFmtId="0" fontId="1" fillId="12" borderId="6" xfId="0" applyFont="1" applyFill="1" applyBorder="1"/>
    <xf numFmtId="0" fontId="44" fillId="0" borderId="0" xfId="0" applyFont="1"/>
    <xf numFmtId="14" fontId="1" fillId="0" borderId="0" xfId="0" applyNumberFormat="1" applyFont="1" applyAlignment="1">
      <alignment horizontal="left"/>
    </xf>
    <xf numFmtId="1" fontId="1" fillId="0" borderId="0" xfId="0" applyNumberFormat="1" applyFont="1"/>
    <xf numFmtId="49" fontId="44" fillId="0" borderId="0" xfId="0" applyNumberFormat="1" applyFont="1"/>
    <xf numFmtId="42" fontId="1" fillId="0" borderId="0" xfId="0" applyNumberFormat="1" applyFont="1"/>
    <xf numFmtId="44" fontId="1" fillId="0" borderId="0" xfId="0" applyNumberFormat="1" applyFont="1"/>
    <xf numFmtId="0" fontId="38" fillId="0" borderId="0" xfId="0" applyFont="1" applyAlignment="1">
      <alignment horizontal="left"/>
    </xf>
    <xf numFmtId="0" fontId="59" fillId="0" borderId="0" xfId="0" applyFont="1"/>
    <xf numFmtId="0" fontId="60" fillId="0" borderId="0" xfId="0" applyFont="1"/>
    <xf numFmtId="0" fontId="3" fillId="3" borderId="40" xfId="0" applyFont="1" applyFill="1" applyBorder="1" applyAlignment="1">
      <alignment horizontal="center"/>
    </xf>
    <xf numFmtId="0" fontId="3" fillId="3" borderId="41" xfId="0" applyFont="1" applyFill="1" applyBorder="1" applyAlignment="1">
      <alignment horizontal="center"/>
    </xf>
    <xf numFmtId="0" fontId="3" fillId="3" borderId="18" xfId="0" applyFont="1" applyFill="1" applyBorder="1" applyAlignment="1">
      <alignment horizontal="center"/>
    </xf>
    <xf numFmtId="0" fontId="4" fillId="3" borderId="42" xfId="0" applyFont="1" applyFill="1" applyBorder="1" applyAlignment="1">
      <alignment horizontal="center"/>
    </xf>
    <xf numFmtId="0" fontId="4" fillId="3" borderId="38" xfId="0" applyFont="1" applyFill="1" applyBorder="1" applyAlignment="1">
      <alignment horizontal="center"/>
    </xf>
    <xf numFmtId="0" fontId="4" fillId="3" borderId="23" xfId="0" applyFont="1" applyFill="1" applyBorder="1" applyAlignment="1">
      <alignment horizontal="center"/>
    </xf>
    <xf numFmtId="0" fontId="2" fillId="0" borderId="32" xfId="0" applyFont="1" applyBorder="1"/>
    <xf numFmtId="0" fontId="2" fillId="0" borderId="33" xfId="0" applyFont="1" applyBorder="1"/>
    <xf numFmtId="0" fontId="2" fillId="0" borderId="34" xfId="0" applyFont="1" applyBorder="1"/>
    <xf numFmtId="0" fontId="8" fillId="4" borderId="13" xfId="0" applyFont="1" applyFill="1" applyBorder="1" applyAlignment="1">
      <alignment horizontal="left" vertical="center"/>
    </xf>
    <xf numFmtId="0" fontId="2" fillId="0" borderId="14" xfId="0" applyFont="1" applyBorder="1"/>
    <xf numFmtId="0" fontId="2" fillId="0" borderId="15" xfId="0" applyFont="1" applyBorder="1"/>
    <xf numFmtId="0" fontId="5" fillId="0" borderId="13" xfId="0" applyFont="1" applyBorder="1" applyAlignment="1">
      <alignment horizontal="left" vertical="center"/>
    </xf>
    <xf numFmtId="0" fontId="5" fillId="0" borderId="5" xfId="0" applyFont="1" applyBorder="1" applyAlignment="1">
      <alignment horizontal="left" vertical="center" wrapText="1"/>
    </xf>
    <xf numFmtId="0" fontId="0" fillId="0" borderId="0" xfId="0"/>
    <xf numFmtId="0" fontId="2" fillId="0" borderId="9" xfId="0" applyFont="1" applyBorder="1"/>
    <xf numFmtId="0" fontId="2" fillId="0" borderId="5" xfId="0" applyFont="1" applyBorder="1"/>
    <xf numFmtId="0" fontId="5" fillId="0" borderId="5" xfId="0" applyFont="1" applyBorder="1" applyAlignment="1">
      <alignment horizontal="left" vertical="top" wrapText="1"/>
    </xf>
    <xf numFmtId="0" fontId="6" fillId="0" borderId="5" xfId="0" applyFont="1" applyBorder="1" applyAlignment="1">
      <alignment horizontal="left" vertical="top" wrapText="1"/>
    </xf>
    <xf numFmtId="14" fontId="5" fillId="0" borderId="13" xfId="0" applyNumberFormat="1" applyFont="1" applyBorder="1" applyAlignment="1">
      <alignment horizontal="left" vertical="center"/>
    </xf>
    <xf numFmtId="0" fontId="7" fillId="3" borderId="16" xfId="0" applyFont="1" applyFill="1" applyBorder="1" applyAlignment="1">
      <alignment horizontal="left"/>
    </xf>
    <xf numFmtId="0" fontId="2" fillId="0" borderId="17" xfId="0" applyFont="1" applyBorder="1"/>
    <xf numFmtId="0" fontId="2" fillId="0" borderId="18" xfId="0" applyFont="1" applyBorder="1"/>
    <xf numFmtId="0" fontId="8" fillId="4" borderId="16" xfId="0" applyFont="1" applyFill="1" applyBorder="1" applyAlignment="1">
      <alignment horizontal="left" vertical="center"/>
    </xf>
    <xf numFmtId="0" fontId="5" fillId="0" borderId="8" xfId="0" applyFont="1" applyBorder="1" applyAlignment="1">
      <alignment horizontal="left"/>
    </xf>
    <xf numFmtId="0" fontId="2" fillId="0" borderId="19" xfId="0" applyFont="1" applyBorder="1"/>
    <xf numFmtId="0" fontId="2" fillId="0" borderId="20" xfId="0" applyFont="1" applyBorder="1"/>
    <xf numFmtId="0" fontId="1" fillId="0" borderId="0" xfId="0" applyFont="1" applyAlignment="1">
      <alignment horizontal="left"/>
    </xf>
    <xf numFmtId="0" fontId="8" fillId="4" borderId="21" xfId="0" applyFont="1" applyFill="1" applyBorder="1" applyAlignment="1">
      <alignment horizontal="left" vertical="top"/>
    </xf>
    <xf numFmtId="0" fontId="2" fillId="0" borderId="22" xfId="0" applyFont="1" applyBorder="1"/>
    <xf numFmtId="0" fontId="2" fillId="0" borderId="23" xfId="0" applyFont="1" applyBorder="1"/>
    <xf numFmtId="0" fontId="56" fillId="0" borderId="8" xfId="1" applyBorder="1" applyAlignment="1">
      <alignment horizontal="left"/>
    </xf>
    <xf numFmtId="0" fontId="2" fillId="0" borderId="24" xfId="0" applyFont="1" applyBorder="1"/>
    <xf numFmtId="0" fontId="1" fillId="0" borderId="0" xfId="0" applyFont="1" applyAlignment="1">
      <alignment horizontal="left" vertical="top" wrapText="1"/>
    </xf>
    <xf numFmtId="49" fontId="5" fillId="0" borderId="5" xfId="0" applyNumberFormat="1" applyFont="1" applyBorder="1" applyAlignment="1">
      <alignment horizontal="left"/>
    </xf>
    <xf numFmtId="0" fontId="8" fillId="4" borderId="25" xfId="0" applyFont="1" applyFill="1" applyBorder="1" applyAlignment="1">
      <alignment horizontal="left" vertical="center"/>
    </xf>
    <xf numFmtId="0" fontId="56" fillId="0" borderId="19" xfId="1" applyBorder="1" applyAlignment="1">
      <alignment horizontal="left"/>
    </xf>
    <xf numFmtId="0" fontId="7" fillId="3" borderId="21" xfId="0" applyFont="1" applyFill="1" applyBorder="1" applyAlignment="1">
      <alignment horizontal="left"/>
    </xf>
    <xf numFmtId="0" fontId="9" fillId="5" borderId="13" xfId="0" applyFont="1" applyFill="1" applyBorder="1" applyAlignment="1">
      <alignment horizontal="right" vertical="center"/>
    </xf>
    <xf numFmtId="0" fontId="2" fillId="0" borderId="26" xfId="0" applyFont="1" applyBorder="1"/>
    <xf numFmtId="0" fontId="10" fillId="5" borderId="27" xfId="0" applyFont="1" applyFill="1" applyBorder="1" applyAlignment="1">
      <alignment horizontal="center" vertical="center"/>
    </xf>
    <xf numFmtId="0" fontId="57" fillId="3" borderId="16" xfId="0" applyFont="1" applyFill="1" applyBorder="1" applyAlignment="1">
      <alignment horizontal="center" vertical="center" wrapText="1"/>
    </xf>
    <xf numFmtId="0" fontId="58" fillId="0" borderId="17" xfId="0" applyFont="1" applyBorder="1"/>
    <xf numFmtId="0" fontId="58" fillId="0" borderId="18" xfId="0" applyFont="1" applyBorder="1"/>
    <xf numFmtId="0" fontId="51" fillId="3" borderId="21" xfId="0" applyFont="1" applyFill="1" applyBorder="1" applyAlignment="1">
      <alignment horizontal="center" vertical="center" wrapText="1"/>
    </xf>
    <xf numFmtId="0" fontId="14" fillId="0" borderId="0" xfId="0" applyFont="1" applyAlignment="1">
      <alignment horizontal="center" vertical="top" wrapText="1"/>
    </xf>
    <xf numFmtId="0" fontId="16" fillId="0" borderId="0" xfId="0" applyFont="1" applyAlignment="1">
      <alignment horizontal="left" vertical="top"/>
    </xf>
    <xf numFmtId="41" fontId="1" fillId="6" borderId="13" xfId="0" applyNumberFormat="1" applyFont="1" applyFill="1" applyBorder="1" applyAlignment="1">
      <alignment horizontal="center"/>
    </xf>
    <xf numFmtId="0" fontId="19" fillId="6" borderId="13" xfId="0" applyFont="1" applyFill="1" applyBorder="1" applyAlignment="1">
      <alignment horizontal="left"/>
    </xf>
    <xf numFmtId="0" fontId="19" fillId="0" borderId="13" xfId="0" applyFont="1" applyBorder="1" applyAlignment="1">
      <alignment horizontal="left"/>
    </xf>
    <xf numFmtId="41" fontId="1" fillId="0" borderId="13" xfId="0" applyNumberFormat="1" applyFont="1" applyBorder="1" applyAlignment="1">
      <alignment horizontal="center"/>
    </xf>
    <xf numFmtId="0" fontId="20" fillId="7" borderId="13" xfId="0" applyFont="1" applyFill="1" applyBorder="1" applyAlignment="1">
      <alignment horizontal="right"/>
    </xf>
    <xf numFmtId="41" fontId="21" fillId="7" borderId="13" xfId="0" applyNumberFormat="1" applyFont="1" applyFill="1" applyBorder="1" applyAlignment="1">
      <alignment horizontal="center"/>
    </xf>
    <xf numFmtId="41" fontId="1" fillId="0" borderId="13" xfId="0" applyNumberFormat="1" applyFont="1" applyBorder="1" applyAlignment="1">
      <alignment horizontal="center" vertical="center"/>
    </xf>
    <xf numFmtId="0" fontId="1" fillId="0" borderId="1" xfId="0" applyFont="1" applyBorder="1" applyAlignment="1">
      <alignment horizontal="left" vertical="top" wrapText="1"/>
    </xf>
    <xf numFmtId="0" fontId="2" fillId="0" borderId="2" xfId="0" applyFont="1" applyBorder="1"/>
    <xf numFmtId="0" fontId="2" fillId="0" borderId="3" xfId="0" applyFont="1" applyBorder="1"/>
    <xf numFmtId="0" fontId="2" fillId="0" borderId="8" xfId="0" applyFont="1" applyBorder="1"/>
    <xf numFmtId="0" fontId="24" fillId="0" borderId="0" xfId="0" applyFont="1" applyAlignment="1">
      <alignment horizontal="left" vertical="center"/>
    </xf>
    <xf numFmtId="0" fontId="23" fillId="0" borderId="0" xfId="0" applyFont="1" applyAlignment="1">
      <alignment horizontal="right"/>
    </xf>
    <xf numFmtId="0" fontId="23" fillId="0" borderId="0" xfId="0" applyFont="1" applyAlignment="1">
      <alignment horizontal="left" vertical="center"/>
    </xf>
    <xf numFmtId="0" fontId="1" fillId="6" borderId="13" xfId="0" applyFont="1" applyFill="1" applyBorder="1" applyAlignment="1">
      <alignment horizontal="left" vertical="center"/>
    </xf>
    <xf numFmtId="0" fontId="1" fillId="0" borderId="13" xfId="0" applyFont="1" applyBorder="1" applyAlignment="1">
      <alignment horizontal="left" vertical="center"/>
    </xf>
    <xf numFmtId="0" fontId="20" fillId="7" borderId="13" xfId="0" applyFont="1" applyFill="1" applyBorder="1" applyAlignment="1">
      <alignment horizontal="right" vertical="center"/>
    </xf>
    <xf numFmtId="0" fontId="55" fillId="0" borderId="1" xfId="0" applyFont="1" applyBorder="1" applyAlignment="1">
      <alignment horizontal="left" vertical="top" wrapText="1"/>
    </xf>
    <xf numFmtId="0" fontId="9" fillId="5" borderId="13" xfId="0" applyFont="1" applyFill="1" applyBorder="1" applyAlignment="1">
      <alignment horizontal="right"/>
    </xf>
    <xf numFmtId="0" fontId="10" fillId="5" borderId="27" xfId="0" applyFont="1" applyFill="1" applyBorder="1" applyAlignment="1">
      <alignment horizontal="center"/>
    </xf>
    <xf numFmtId="0" fontId="11" fillId="3" borderId="16" xfId="0" applyFont="1" applyFill="1" applyBorder="1" applyAlignment="1">
      <alignment horizontal="center" vertical="center"/>
    </xf>
    <xf numFmtId="0" fontId="51" fillId="3" borderId="21" xfId="0" applyFont="1" applyFill="1" applyBorder="1" applyAlignment="1">
      <alignment horizontal="center" vertical="top" wrapText="1"/>
    </xf>
    <xf numFmtId="0" fontId="22" fillId="0" borderId="0" xfId="0" applyFont="1" applyAlignment="1">
      <alignment horizontal="left" vertical="top"/>
    </xf>
    <xf numFmtId="0" fontId="19" fillId="6" borderId="13" xfId="0" applyFont="1" applyFill="1" applyBorder="1" applyAlignment="1">
      <alignment horizontal="left" vertical="top"/>
    </xf>
    <xf numFmtId="41" fontId="19" fillId="6" borderId="13" xfId="0" applyNumberFormat="1" applyFont="1" applyFill="1" applyBorder="1" applyAlignment="1">
      <alignment horizontal="center" vertical="top"/>
    </xf>
    <xf numFmtId="0" fontId="19" fillId="0" borderId="13" xfId="0" applyFont="1" applyBorder="1" applyAlignment="1">
      <alignment horizontal="left" vertical="top"/>
    </xf>
    <xf numFmtId="41" fontId="19" fillId="0" borderId="13" xfId="0" applyNumberFormat="1" applyFont="1" applyBorder="1" applyAlignment="1">
      <alignment horizontal="center" vertical="top"/>
    </xf>
    <xf numFmtId="0" fontId="27" fillId="7" borderId="13" xfId="0" applyFont="1" applyFill="1" applyBorder="1" applyAlignment="1">
      <alignment horizontal="right" vertical="top"/>
    </xf>
    <xf numFmtId="41" fontId="27" fillId="7" borderId="13" xfId="0" applyNumberFormat="1" applyFont="1" applyFill="1" applyBorder="1" applyAlignment="1">
      <alignment horizontal="center" vertical="center"/>
    </xf>
    <xf numFmtId="0" fontId="28" fillId="0" borderId="0" xfId="0" applyFont="1" applyAlignment="1">
      <alignment horizontal="left" vertical="center"/>
    </xf>
    <xf numFmtId="0" fontId="29" fillId="0" borderId="0" xfId="0" applyFont="1" applyAlignment="1">
      <alignment horizontal="left" vertical="center"/>
    </xf>
    <xf numFmtId="0" fontId="1" fillId="6" borderId="13" xfId="0" applyFont="1" applyFill="1" applyBorder="1" applyAlignment="1">
      <alignment horizontal="left"/>
    </xf>
    <xf numFmtId="0" fontId="1" fillId="0" borderId="13" xfId="0" applyFont="1" applyBorder="1" applyAlignment="1">
      <alignment horizontal="left"/>
    </xf>
    <xf numFmtId="0" fontId="21" fillId="7" borderId="13" xfId="0" applyFont="1" applyFill="1" applyBorder="1" applyAlignment="1">
      <alignment horizontal="right"/>
    </xf>
    <xf numFmtId="41" fontId="20" fillId="7" borderId="13" xfId="0" applyNumberFormat="1" applyFont="1" applyFill="1" applyBorder="1" applyAlignment="1">
      <alignment horizontal="center" vertical="center"/>
    </xf>
    <xf numFmtId="0" fontId="30" fillId="0" borderId="0" xfId="0" applyFont="1" applyAlignment="1">
      <alignment horizontal="left"/>
    </xf>
    <xf numFmtId="41" fontId="1" fillId="6" borderId="13" xfId="0" applyNumberFormat="1" applyFont="1" applyFill="1" applyBorder="1" applyAlignment="1">
      <alignment horizontal="center" vertical="center"/>
    </xf>
    <xf numFmtId="0" fontId="9" fillId="5" borderId="13" xfId="0" applyFont="1" applyFill="1" applyBorder="1" applyAlignment="1">
      <alignment horizontal="center" vertical="center"/>
    </xf>
    <xf numFmtId="0" fontId="54" fillId="3" borderId="16" xfId="0" applyFont="1" applyFill="1" applyBorder="1" applyAlignment="1">
      <alignment horizontal="center" vertical="center"/>
    </xf>
    <xf numFmtId="0" fontId="11" fillId="3" borderId="21" xfId="0" applyFont="1" applyFill="1" applyBorder="1" applyAlignment="1">
      <alignment horizontal="center" vertical="center"/>
    </xf>
    <xf numFmtId="0" fontId="33" fillId="2" borderId="28" xfId="0" applyFont="1" applyFill="1" applyBorder="1" applyAlignment="1">
      <alignment horizontal="center" vertical="center"/>
    </xf>
    <xf numFmtId="0" fontId="2" fillId="0" borderId="29" xfId="0" applyFont="1" applyBorder="1"/>
    <xf numFmtId="0" fontId="2" fillId="0" borderId="30" xfId="0" applyFont="1" applyBorder="1"/>
    <xf numFmtId="0" fontId="17" fillId="0" borderId="0" xfId="0" applyFont="1" applyAlignment="1">
      <alignment horizontal="center" vertical="center"/>
    </xf>
    <xf numFmtId="49" fontId="19" fillId="6" borderId="13" xfId="0" applyNumberFormat="1" applyFont="1" applyFill="1" applyBorder="1" applyAlignment="1">
      <alignment horizontal="left" vertical="top"/>
    </xf>
    <xf numFmtId="49" fontId="19" fillId="0" borderId="13" xfId="0" applyNumberFormat="1" applyFont="1" applyBorder="1" applyAlignment="1">
      <alignment horizontal="left" vertical="top"/>
    </xf>
    <xf numFmtId="0" fontId="21" fillId="0" borderId="0" xfId="0" applyFont="1" applyAlignment="1">
      <alignment horizontal="left" wrapText="1"/>
    </xf>
    <xf numFmtId="0" fontId="13" fillId="3" borderId="16" xfId="0" applyFont="1" applyFill="1" applyBorder="1" applyAlignment="1">
      <alignment horizontal="center"/>
    </xf>
    <xf numFmtId="0" fontId="1" fillId="4" borderId="1" xfId="0" applyFont="1" applyFill="1" applyBorder="1" applyAlignment="1">
      <alignment horizontal="left" vertical="center" wrapText="1"/>
    </xf>
    <xf numFmtId="42" fontId="58" fillId="13" borderId="44" xfId="0" applyNumberFormat="1" applyFont="1" applyFill="1" applyBorder="1" applyAlignment="1" applyProtection="1">
      <alignment horizontal="right"/>
      <protection locked="0"/>
    </xf>
    <xf numFmtId="42" fontId="1" fillId="6" borderId="13" xfId="0" applyNumberFormat="1" applyFont="1" applyFill="1" applyBorder="1" applyAlignment="1">
      <alignment horizontal="right"/>
    </xf>
    <xf numFmtId="42" fontId="1" fillId="6" borderId="13" xfId="0" applyNumberFormat="1" applyFont="1" applyFill="1" applyBorder="1" applyAlignment="1">
      <alignment horizontal="center"/>
    </xf>
    <xf numFmtId="0" fontId="1" fillId="9" borderId="13" xfId="0" applyFont="1" applyFill="1" applyBorder="1" applyAlignment="1">
      <alignment horizontal="left"/>
    </xf>
    <xf numFmtId="42" fontId="58" fillId="0" borderId="44" xfId="0" applyNumberFormat="1" applyFont="1" applyBorder="1" applyAlignment="1" applyProtection="1">
      <alignment horizontal="right"/>
      <protection locked="0"/>
    </xf>
    <xf numFmtId="0" fontId="1" fillId="0" borderId="0" xfId="0" applyFont="1" applyAlignment="1">
      <alignment horizontal="left" wrapText="1"/>
    </xf>
    <xf numFmtId="0" fontId="27" fillId="0" borderId="0" xfId="0" applyFont="1" applyAlignment="1">
      <alignment horizontal="center"/>
    </xf>
    <xf numFmtId="0" fontId="37" fillId="0" borderId="31" xfId="0" applyFont="1" applyBorder="1" applyAlignment="1">
      <alignment horizontal="left"/>
    </xf>
    <xf numFmtId="0" fontId="2" fillId="0" borderId="31" xfId="0" applyFont="1" applyBorder="1"/>
    <xf numFmtId="0" fontId="1" fillId="0" borderId="0" xfId="0" applyFont="1" applyAlignment="1">
      <alignment horizontal="right" wrapText="1"/>
    </xf>
    <xf numFmtId="0" fontId="21" fillId="0" borderId="0" xfId="0" applyFont="1" applyAlignment="1">
      <alignment horizontal="left" vertical="top" wrapText="1"/>
    </xf>
    <xf numFmtId="0" fontId="21" fillId="0" borderId="0" xfId="0" applyFont="1" applyAlignment="1">
      <alignment horizontal="left" vertical="center" wrapText="1"/>
    </xf>
    <xf numFmtId="49" fontId="1" fillId="0" borderId="0" xfId="0" applyNumberFormat="1" applyFont="1" applyAlignment="1">
      <alignment horizontal="left" vertical="top" wrapText="1"/>
    </xf>
    <xf numFmtId="0" fontId="13" fillId="8" borderId="13" xfId="0" applyFont="1" applyFill="1" applyBorder="1" applyAlignment="1">
      <alignment horizontal="left"/>
    </xf>
    <xf numFmtId="0" fontId="1" fillId="4" borderId="16" xfId="0" applyFont="1" applyFill="1" applyBorder="1" applyAlignment="1">
      <alignment wrapText="1"/>
    </xf>
    <xf numFmtId="0" fontId="1" fillId="0" borderId="1" xfId="0" applyFont="1" applyBorder="1" applyAlignment="1">
      <alignment horizontal="center" vertical="center" wrapText="1"/>
    </xf>
    <xf numFmtId="0" fontId="1" fillId="4" borderId="32" xfId="0" applyFont="1" applyFill="1" applyBorder="1" applyAlignment="1">
      <alignment horizontal="left"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42" fontId="1" fillId="9" borderId="13" xfId="0" applyNumberFormat="1" applyFont="1" applyFill="1" applyBorder="1" applyAlignment="1">
      <alignment horizontal="right"/>
    </xf>
    <xf numFmtId="42" fontId="1" fillId="9" borderId="13" xfId="0" applyNumberFormat="1" applyFont="1" applyFill="1" applyBorder="1" applyAlignment="1">
      <alignment horizontal="center"/>
    </xf>
    <xf numFmtId="0" fontId="1" fillId="4" borderId="13" xfId="0" applyFont="1" applyFill="1" applyBorder="1"/>
    <xf numFmtId="0" fontId="1" fillId="4" borderId="32" xfId="0" applyFont="1" applyFill="1" applyBorder="1" applyAlignment="1">
      <alignment horizontal="left" vertical="center"/>
    </xf>
    <xf numFmtId="49" fontId="1" fillId="0" borderId="1" xfId="0" applyNumberFormat="1" applyFont="1" applyBorder="1" applyAlignment="1">
      <alignment horizontal="left" vertical="top" wrapText="1"/>
    </xf>
    <xf numFmtId="42" fontId="1" fillId="10" borderId="13" xfId="0" applyNumberFormat="1" applyFont="1" applyFill="1" applyBorder="1" applyAlignment="1">
      <alignment horizontal="right"/>
    </xf>
    <xf numFmtId="42" fontId="1" fillId="10" borderId="13" xfId="0" applyNumberFormat="1" applyFont="1" applyFill="1" applyBorder="1" applyAlignment="1">
      <alignment horizontal="center"/>
    </xf>
    <xf numFmtId="42" fontId="1" fillId="0" borderId="13" xfId="0" applyNumberFormat="1" applyFont="1" applyBorder="1" applyAlignment="1">
      <alignment horizontal="right"/>
    </xf>
    <xf numFmtId="0" fontId="1" fillId="9" borderId="13" xfId="0" applyFont="1" applyFill="1" applyBorder="1"/>
    <xf numFmtId="42" fontId="21" fillId="7" borderId="13" xfId="0" applyNumberFormat="1" applyFont="1" applyFill="1" applyBorder="1" applyAlignment="1">
      <alignment horizontal="right"/>
    </xf>
    <xf numFmtId="0" fontId="1" fillId="4" borderId="16" xfId="0" applyFont="1" applyFill="1" applyBorder="1" applyAlignment="1">
      <alignment horizontal="left" vertical="center"/>
    </xf>
    <xf numFmtId="0" fontId="1" fillId="4" borderId="21" xfId="0" applyFont="1" applyFill="1" applyBorder="1" applyAlignment="1">
      <alignment horizontal="left" vertical="center"/>
    </xf>
    <xf numFmtId="0" fontId="1" fillId="0" borderId="1" xfId="0" applyFont="1" applyBorder="1" applyAlignment="1">
      <alignment horizontal="center" vertical="center"/>
    </xf>
    <xf numFmtId="44" fontId="1" fillId="6" borderId="13" xfId="0" applyNumberFormat="1" applyFont="1" applyFill="1" applyBorder="1" applyAlignment="1">
      <alignment horizontal="right"/>
    </xf>
    <xf numFmtId="44" fontId="2" fillId="0" borderId="15" xfId="0" applyNumberFormat="1" applyFont="1" applyBorder="1"/>
    <xf numFmtId="0" fontId="58" fillId="0" borderId="45" xfId="0" applyFont="1" applyBorder="1" applyAlignment="1" applyProtection="1">
      <alignment horizontal="center" vertical="center" wrapText="1"/>
      <protection locked="0"/>
    </xf>
    <xf numFmtId="0" fontId="58" fillId="0" borderId="46" xfId="0" applyFont="1" applyBorder="1" applyAlignment="1" applyProtection="1">
      <alignment horizontal="center" vertical="center" wrapText="1"/>
      <protection locked="0"/>
    </xf>
    <xf numFmtId="0" fontId="58" fillId="0" borderId="47" xfId="0" applyFont="1" applyBorder="1" applyAlignment="1" applyProtection="1">
      <alignment horizontal="center" vertical="center" wrapText="1"/>
      <protection locked="0"/>
    </xf>
    <xf numFmtId="0" fontId="58" fillId="0" borderId="48" xfId="0" applyFont="1" applyBorder="1" applyAlignment="1" applyProtection="1">
      <alignment horizontal="center" vertical="center" wrapText="1"/>
      <protection locked="0"/>
    </xf>
    <xf numFmtId="0" fontId="58" fillId="0" borderId="49" xfId="0" applyFont="1" applyBorder="1" applyAlignment="1" applyProtection="1">
      <alignment horizontal="center" vertical="center" wrapText="1"/>
      <protection locked="0"/>
    </xf>
    <xf numFmtId="0" fontId="58" fillId="0" borderId="50" xfId="0" applyFont="1" applyBorder="1" applyAlignment="1" applyProtection="1">
      <alignment horizontal="center" vertical="center" wrapText="1"/>
      <protection locked="0"/>
    </xf>
    <xf numFmtId="0" fontId="1" fillId="0" borderId="14" xfId="0" applyFont="1" applyBorder="1" applyAlignment="1">
      <alignment horizontal="center" vertical="center"/>
    </xf>
    <xf numFmtId="0" fontId="1" fillId="0" borderId="14" xfId="0" applyFont="1" applyBorder="1" applyAlignment="1">
      <alignment horizontal="center" vertical="center" wrapText="1"/>
    </xf>
    <xf numFmtId="0" fontId="39" fillId="4" borderId="35" xfId="0" applyFont="1" applyFill="1" applyBorder="1" applyAlignment="1">
      <alignment horizontal="center" vertical="center"/>
    </xf>
    <xf numFmtId="0" fontId="2" fillId="0" borderId="36" xfId="0" applyFont="1" applyBorder="1"/>
    <xf numFmtId="0" fontId="2" fillId="0" borderId="37" xfId="0" applyFont="1" applyBorder="1"/>
    <xf numFmtId="0" fontId="10" fillId="5" borderId="27" xfId="0" applyFont="1" applyFill="1" applyBorder="1" applyAlignment="1">
      <alignment horizontal="left"/>
    </xf>
    <xf numFmtId="0" fontId="12" fillId="8" borderId="21" xfId="0" applyFont="1" applyFill="1" applyBorder="1" applyAlignment="1">
      <alignment horizontal="center" vertical="center" wrapText="1"/>
    </xf>
    <xf numFmtId="0" fontId="2" fillId="0" borderId="38" xfId="0" applyFont="1" applyBorder="1"/>
    <xf numFmtId="0" fontId="41" fillId="0" borderId="0" xfId="0" applyFont="1" applyAlignment="1">
      <alignment horizontal="center"/>
    </xf>
    <xf numFmtId="0" fontId="42" fillId="0" borderId="0" xfId="0" applyFont="1" applyAlignment="1">
      <alignment horizontal="center"/>
    </xf>
    <xf numFmtId="0" fontId="11" fillId="8" borderId="21" xfId="0" applyFont="1" applyFill="1" applyBorder="1" applyAlignment="1">
      <alignment horizontal="center" vertical="center" wrapText="1"/>
    </xf>
    <xf numFmtId="0" fontId="9" fillId="5" borderId="13" xfId="0" applyFont="1" applyFill="1" applyBorder="1" applyAlignment="1">
      <alignment horizontal="center"/>
    </xf>
    <xf numFmtId="0" fontId="21" fillId="0" borderId="0" xfId="0" applyFont="1" applyAlignment="1">
      <alignment horizontal="center" vertical="top" wrapText="1"/>
    </xf>
    <xf numFmtId="0" fontId="21" fillId="0" borderId="8" xfId="0" applyFont="1" applyBorder="1" applyAlignment="1">
      <alignment horizontal="center"/>
    </xf>
    <xf numFmtId="0" fontId="1" fillId="12" borderId="13" xfId="0" applyFont="1" applyFill="1" applyBorder="1" applyAlignment="1">
      <alignment horizontal="left"/>
    </xf>
    <xf numFmtId="0" fontId="1" fillId="0" borderId="0" xfId="0" applyFont="1" applyAlignment="1">
      <alignment horizontal="center"/>
    </xf>
    <xf numFmtId="0" fontId="1" fillId="0" borderId="1"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12" borderId="21" xfId="0" applyFont="1" applyFill="1" applyBorder="1" applyAlignment="1">
      <alignment horizontal="left"/>
    </xf>
    <xf numFmtId="0" fontId="1" fillId="12" borderId="32" xfId="0" applyFont="1" applyFill="1" applyBorder="1" applyAlignment="1">
      <alignment horizontal="left"/>
    </xf>
    <xf numFmtId="0" fontId="1" fillId="12" borderId="16" xfId="0" applyFont="1" applyFill="1" applyBorder="1" applyAlignment="1">
      <alignment horizontal="left"/>
    </xf>
    <xf numFmtId="0" fontId="9" fillId="5" borderId="16" xfId="0" applyFont="1" applyFill="1" applyBorder="1" applyAlignment="1">
      <alignment horizontal="center"/>
    </xf>
    <xf numFmtId="0" fontId="1" fillId="12" borderId="1" xfId="0" applyFont="1" applyFill="1" applyBorder="1" applyAlignment="1">
      <alignment horizontal="left" vertical="top" wrapText="1"/>
    </xf>
    <xf numFmtId="0" fontId="21"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226</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226</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226</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226</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227</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228</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228</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285</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286</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343</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344</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401</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402</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459</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460</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517</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518</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575</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576</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633</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634</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691</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692</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749</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750</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807</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808</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865</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866</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gotcher@co.humboldt.ca.us" TargetMode="External"/><Relationship Id="rId1" Type="http://schemas.openxmlformats.org/officeDocument/2006/relationships/hyperlink" Target="mailto:csanders@co.humboldt.ca.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90" zoomScaleNormal="90" workbookViewId="0">
      <pane ySplit="6" topLeftCell="A24" activePane="bottomLeft" state="frozen"/>
      <selection pane="bottomLeft" activeCell="N29" sqref="N29"/>
    </sheetView>
  </sheetViews>
  <sheetFormatPr defaultColWidth="12.54296875" defaultRowHeight="15" customHeight="1"/>
  <cols>
    <col min="1" max="1" width="9.81640625" customWidth="1"/>
    <col min="2" max="2" width="8.81640625" customWidth="1"/>
    <col min="3" max="3" width="6" customWidth="1"/>
    <col min="4" max="10" width="10.453125" customWidth="1"/>
    <col min="11" max="26" width="8.81640625" customWidth="1"/>
  </cols>
  <sheetData>
    <row r="1" spans="1:10" ht="1.5" customHeight="1">
      <c r="A1" s="1"/>
      <c r="B1" s="2"/>
      <c r="C1" s="2"/>
      <c r="D1" s="2"/>
      <c r="E1" s="2"/>
      <c r="F1" s="2"/>
      <c r="G1" s="2"/>
      <c r="H1" s="2"/>
      <c r="I1" s="2"/>
      <c r="J1" s="3"/>
    </row>
    <row r="2" spans="1:10" ht="7.5" customHeight="1"/>
    <row r="3" spans="1:10" ht="15" customHeight="1">
      <c r="A3" s="142" t="s">
        <v>0</v>
      </c>
      <c r="B3" s="143"/>
      <c r="C3" s="143"/>
      <c r="D3" s="143"/>
      <c r="E3" s="143"/>
      <c r="F3" s="143"/>
      <c r="G3" s="143"/>
      <c r="H3" s="143"/>
      <c r="I3" s="143"/>
      <c r="J3" s="144"/>
    </row>
    <row r="4" spans="1:10" ht="15" customHeight="1">
      <c r="A4" s="145" t="s">
        <v>1</v>
      </c>
      <c r="B4" s="146"/>
      <c r="C4" s="146"/>
      <c r="D4" s="146"/>
      <c r="E4" s="146"/>
      <c r="F4" s="146"/>
      <c r="G4" s="146"/>
      <c r="H4" s="146"/>
      <c r="I4" s="146"/>
      <c r="J4" s="147"/>
    </row>
    <row r="5" spans="1:10" ht="15" customHeight="1">
      <c r="A5" s="145" t="s">
        <v>2</v>
      </c>
      <c r="B5" s="146"/>
      <c r="C5" s="146"/>
      <c r="D5" s="146"/>
      <c r="E5" s="146"/>
      <c r="F5" s="146"/>
      <c r="G5" s="146"/>
      <c r="H5" s="146"/>
      <c r="I5" s="146"/>
      <c r="J5" s="147"/>
    </row>
    <row r="6" spans="1:10" ht="7.5" customHeight="1">
      <c r="A6" s="148"/>
      <c r="B6" s="149"/>
      <c r="C6" s="149"/>
      <c r="D6" s="149"/>
      <c r="E6" s="149"/>
      <c r="F6" s="149"/>
      <c r="G6" s="149"/>
      <c r="H6" s="149"/>
      <c r="I6" s="149"/>
      <c r="J6" s="150"/>
    </row>
    <row r="7" spans="1:10" ht="6" customHeight="1">
      <c r="A7" s="4"/>
      <c r="B7" s="5"/>
      <c r="C7" s="6"/>
      <c r="D7" s="6"/>
      <c r="E7" s="6"/>
      <c r="F7" s="6"/>
      <c r="G7" s="6"/>
      <c r="H7" s="6"/>
      <c r="I7" s="6"/>
      <c r="J7" s="7"/>
    </row>
    <row r="8" spans="1:10" ht="12.75" customHeight="1">
      <c r="A8" s="155" t="s">
        <v>3</v>
      </c>
      <c r="B8" s="156"/>
      <c r="C8" s="156"/>
      <c r="D8" s="156"/>
      <c r="E8" s="156"/>
      <c r="F8" s="156"/>
      <c r="G8" s="156"/>
      <c r="H8" s="156"/>
      <c r="I8" s="156"/>
      <c r="J8" s="157"/>
    </row>
    <row r="9" spans="1:10" ht="12.75" customHeight="1">
      <c r="A9" s="158"/>
      <c r="B9" s="156"/>
      <c r="C9" s="156"/>
      <c r="D9" s="156"/>
      <c r="E9" s="156"/>
      <c r="F9" s="156"/>
      <c r="G9" s="156"/>
      <c r="H9" s="156"/>
      <c r="I9" s="156"/>
      <c r="J9" s="157"/>
    </row>
    <row r="10" spans="1:10" ht="12.75" customHeight="1">
      <c r="A10" s="158"/>
      <c r="B10" s="156"/>
      <c r="C10" s="156"/>
      <c r="D10" s="156"/>
      <c r="E10" s="156"/>
      <c r="F10" s="156"/>
      <c r="G10" s="156"/>
      <c r="H10" s="156"/>
      <c r="I10" s="156"/>
      <c r="J10" s="157"/>
    </row>
    <row r="11" spans="1:10" ht="12.75" customHeight="1">
      <c r="A11" s="158"/>
      <c r="B11" s="156"/>
      <c r="C11" s="156"/>
      <c r="D11" s="156"/>
      <c r="E11" s="156"/>
      <c r="F11" s="156"/>
      <c r="G11" s="156"/>
      <c r="H11" s="156"/>
      <c r="I11" s="156"/>
      <c r="J11" s="157"/>
    </row>
    <row r="12" spans="1:10" ht="12.75" customHeight="1">
      <c r="A12" s="158"/>
      <c r="B12" s="156"/>
      <c r="C12" s="156"/>
      <c r="D12" s="156"/>
      <c r="E12" s="156"/>
      <c r="F12" s="156"/>
      <c r="G12" s="156"/>
      <c r="H12" s="156"/>
      <c r="I12" s="156"/>
      <c r="J12" s="157"/>
    </row>
    <row r="13" spans="1:10" ht="12.75" customHeight="1">
      <c r="A13" s="158"/>
      <c r="B13" s="156"/>
      <c r="C13" s="156"/>
      <c r="D13" s="156"/>
      <c r="E13" s="156"/>
      <c r="F13" s="156"/>
      <c r="G13" s="156"/>
      <c r="H13" s="156"/>
      <c r="I13" s="156"/>
      <c r="J13" s="157"/>
    </row>
    <row r="14" spans="1:10" ht="12.75" customHeight="1">
      <c r="A14" s="158"/>
      <c r="B14" s="156"/>
      <c r="C14" s="156"/>
      <c r="D14" s="156"/>
      <c r="E14" s="156"/>
      <c r="F14" s="156"/>
      <c r="G14" s="156"/>
      <c r="H14" s="156"/>
      <c r="I14" s="156"/>
      <c r="J14" s="157"/>
    </row>
    <row r="15" spans="1:10" ht="6" customHeight="1">
      <c r="A15" s="159"/>
      <c r="B15" s="156"/>
      <c r="C15" s="156"/>
      <c r="D15" s="156"/>
      <c r="E15" s="156"/>
      <c r="F15" s="156"/>
      <c r="G15" s="156"/>
      <c r="H15" s="156"/>
      <c r="I15" s="156"/>
      <c r="J15" s="157"/>
    </row>
    <row r="16" spans="1:10" ht="12.75" customHeight="1">
      <c r="A16" s="160" t="s">
        <v>952</v>
      </c>
      <c r="B16" s="156"/>
      <c r="C16" s="156"/>
      <c r="D16" s="156"/>
      <c r="E16" s="156"/>
      <c r="F16" s="156"/>
      <c r="G16" s="156"/>
      <c r="H16" s="156"/>
      <c r="I16" s="156"/>
      <c r="J16" s="157"/>
    </row>
    <row r="17" spans="1:26" ht="12.75" customHeight="1">
      <c r="A17" s="158"/>
      <c r="B17" s="156"/>
      <c r="C17" s="156"/>
      <c r="D17" s="156"/>
      <c r="E17" s="156"/>
      <c r="F17" s="156"/>
      <c r="G17" s="156"/>
      <c r="H17" s="156"/>
      <c r="I17" s="156"/>
      <c r="J17" s="157"/>
    </row>
    <row r="18" spans="1:26" ht="6" customHeight="1">
      <c r="A18" s="8"/>
      <c r="B18" s="9"/>
      <c r="C18" s="9"/>
      <c r="D18" s="9"/>
      <c r="E18" s="9"/>
      <c r="F18" s="9"/>
      <c r="G18" s="9"/>
      <c r="H18" s="9"/>
      <c r="I18" s="9"/>
      <c r="J18" s="10"/>
    </row>
    <row r="19" spans="1:26" ht="12.75" customHeight="1">
      <c r="A19" s="159" t="s">
        <v>4</v>
      </c>
      <c r="B19" s="156"/>
      <c r="C19" s="156"/>
      <c r="D19" s="156"/>
      <c r="E19" s="156"/>
      <c r="F19" s="156"/>
      <c r="G19" s="156"/>
      <c r="H19" s="156"/>
      <c r="I19" s="156"/>
      <c r="J19" s="157"/>
    </row>
    <row r="20" spans="1:26" ht="30" customHeight="1">
      <c r="A20" s="158"/>
      <c r="B20" s="156"/>
      <c r="C20" s="156"/>
      <c r="D20" s="156"/>
      <c r="E20" s="156"/>
      <c r="F20" s="156"/>
      <c r="G20" s="156"/>
      <c r="H20" s="156"/>
      <c r="I20" s="156"/>
      <c r="J20" s="157"/>
    </row>
    <row r="21" spans="1:26" ht="4.5" customHeight="1">
      <c r="A21" s="11"/>
      <c r="B21" s="12"/>
      <c r="C21" s="12"/>
      <c r="D21" s="12"/>
      <c r="E21" s="12"/>
      <c r="F21" s="12"/>
      <c r="G21" s="12"/>
      <c r="H21" s="12"/>
      <c r="I21" s="12"/>
      <c r="J21" s="13"/>
    </row>
    <row r="22" spans="1:26" ht="15" customHeight="1">
      <c r="A22" s="14" t="s">
        <v>5</v>
      </c>
      <c r="B22" s="15"/>
      <c r="C22" s="15"/>
      <c r="D22" s="15"/>
      <c r="E22" s="15"/>
      <c r="F22" s="15"/>
      <c r="G22" s="15"/>
      <c r="H22" s="15"/>
      <c r="I22" s="15"/>
      <c r="J22" s="16"/>
    </row>
    <row r="23" spans="1:26" ht="15" customHeight="1">
      <c r="A23" s="151" t="s">
        <v>6</v>
      </c>
      <c r="B23" s="152"/>
      <c r="C23" s="152"/>
      <c r="D23" s="152"/>
      <c r="E23" s="153"/>
      <c r="F23" s="151" t="s">
        <v>7</v>
      </c>
      <c r="G23" s="152"/>
      <c r="H23" s="152"/>
      <c r="I23" s="152"/>
      <c r="J23" s="153"/>
    </row>
    <row r="24" spans="1:26" ht="18.75" customHeight="1">
      <c r="A24" s="154" t="s">
        <v>883</v>
      </c>
      <c r="B24" s="152"/>
      <c r="C24" s="152"/>
      <c r="D24" s="152"/>
      <c r="E24" s="153"/>
      <c r="F24" s="161">
        <v>45561</v>
      </c>
      <c r="G24" s="152"/>
      <c r="H24" s="152"/>
      <c r="I24" s="152"/>
      <c r="J24" s="153"/>
      <c r="K24" s="17"/>
      <c r="L24" s="17"/>
      <c r="M24" s="17"/>
      <c r="N24" s="17"/>
      <c r="O24" s="17"/>
      <c r="P24" s="17"/>
      <c r="Q24" s="17"/>
      <c r="R24" s="17"/>
      <c r="S24" s="17"/>
      <c r="T24" s="17"/>
      <c r="U24" s="17"/>
      <c r="V24" s="17"/>
      <c r="W24" s="17"/>
      <c r="X24" s="17"/>
      <c r="Y24" s="17"/>
      <c r="Z24" s="17"/>
    </row>
    <row r="25" spans="1:26" ht="15" customHeight="1">
      <c r="A25" s="162" t="s">
        <v>8</v>
      </c>
      <c r="B25" s="163"/>
      <c r="C25" s="163"/>
      <c r="D25" s="163"/>
      <c r="E25" s="163"/>
      <c r="F25" s="163"/>
      <c r="G25" s="163"/>
      <c r="H25" s="163"/>
      <c r="I25" s="163"/>
      <c r="J25" s="164"/>
    </row>
    <row r="26" spans="1:26" ht="15" customHeight="1">
      <c r="A26" s="165" t="s">
        <v>9</v>
      </c>
      <c r="B26" s="163"/>
      <c r="C26" s="163"/>
      <c r="D26" s="163"/>
      <c r="E26" s="164"/>
      <c r="F26" s="165" t="s">
        <v>10</v>
      </c>
      <c r="G26" s="163"/>
      <c r="H26" s="163"/>
      <c r="I26" s="163"/>
      <c r="J26" s="164"/>
    </row>
    <row r="27" spans="1:26" ht="15" customHeight="1">
      <c r="A27" s="166" t="s">
        <v>954</v>
      </c>
      <c r="B27" s="167"/>
      <c r="C27" s="167"/>
      <c r="D27" s="167"/>
      <c r="E27" s="168"/>
      <c r="F27" s="166" t="s">
        <v>955</v>
      </c>
      <c r="G27" s="167"/>
      <c r="H27" s="167"/>
      <c r="I27" s="167"/>
      <c r="J27" s="168"/>
      <c r="N27" s="169"/>
      <c r="O27" s="156"/>
      <c r="P27" s="156"/>
      <c r="Q27" s="156"/>
      <c r="R27" s="156"/>
    </row>
    <row r="28" spans="1:26" ht="15" customHeight="1">
      <c r="A28" s="170" t="s">
        <v>11</v>
      </c>
      <c r="B28" s="171"/>
      <c r="C28" s="172"/>
      <c r="D28" s="170" t="s">
        <v>12</v>
      </c>
      <c r="E28" s="171"/>
      <c r="F28" s="171"/>
      <c r="G28" s="171"/>
      <c r="H28" s="171"/>
      <c r="I28" s="171"/>
      <c r="J28" s="172"/>
    </row>
    <row r="29" spans="1:26" ht="15" customHeight="1">
      <c r="A29" s="166" t="s">
        <v>956</v>
      </c>
      <c r="B29" s="167"/>
      <c r="C29" s="168"/>
      <c r="D29" s="173" t="s">
        <v>957</v>
      </c>
      <c r="E29" s="167"/>
      <c r="F29" s="167"/>
      <c r="G29" s="167"/>
      <c r="H29" s="167"/>
      <c r="I29" s="167"/>
      <c r="J29" s="168"/>
    </row>
    <row r="30" spans="1:26" ht="15" customHeight="1">
      <c r="A30" s="162" t="s">
        <v>13</v>
      </c>
      <c r="B30" s="163"/>
      <c r="C30" s="163"/>
      <c r="D30" s="163"/>
      <c r="E30" s="163"/>
      <c r="F30" s="163"/>
      <c r="G30" s="163"/>
      <c r="H30" s="163"/>
      <c r="I30" s="163"/>
      <c r="J30" s="164"/>
    </row>
    <row r="31" spans="1:26" ht="15" customHeight="1">
      <c r="A31" s="165" t="s">
        <v>9</v>
      </c>
      <c r="B31" s="163"/>
      <c r="C31" s="163"/>
      <c r="D31" s="163"/>
      <c r="E31" s="174"/>
      <c r="F31" s="165" t="s">
        <v>10</v>
      </c>
      <c r="G31" s="163"/>
      <c r="H31" s="163"/>
      <c r="I31" s="163"/>
      <c r="J31" s="164"/>
    </row>
    <row r="32" spans="1:26" ht="15" customHeight="1">
      <c r="A32" s="176" t="s">
        <v>958</v>
      </c>
      <c r="B32" s="156"/>
      <c r="C32" s="156"/>
      <c r="D32" s="156"/>
      <c r="E32" s="156"/>
      <c r="F32" s="176" t="s">
        <v>959</v>
      </c>
      <c r="G32" s="156"/>
      <c r="H32" s="156"/>
      <c r="I32" s="156"/>
      <c r="J32" s="157"/>
    </row>
    <row r="33" spans="1:20" ht="15" customHeight="1">
      <c r="A33" s="165" t="s">
        <v>11</v>
      </c>
      <c r="B33" s="163"/>
      <c r="C33" s="164"/>
      <c r="D33" s="177" t="s">
        <v>12</v>
      </c>
      <c r="E33" s="163"/>
      <c r="F33" s="163"/>
      <c r="G33" s="163"/>
      <c r="H33" s="163"/>
      <c r="I33" s="163"/>
      <c r="J33" s="164"/>
    </row>
    <row r="34" spans="1:20" ht="15" customHeight="1">
      <c r="A34" s="166" t="s">
        <v>956</v>
      </c>
      <c r="B34" s="167"/>
      <c r="C34" s="168"/>
      <c r="D34" s="178" t="s">
        <v>960</v>
      </c>
      <c r="E34" s="167"/>
      <c r="F34" s="167"/>
      <c r="G34" s="167"/>
      <c r="H34" s="167"/>
      <c r="I34" s="167"/>
      <c r="J34" s="168"/>
    </row>
    <row r="35" spans="1:20" ht="12.75" customHeight="1">
      <c r="A35" s="179" t="s">
        <v>14</v>
      </c>
      <c r="B35" s="171"/>
      <c r="C35" s="171"/>
      <c r="D35" s="171"/>
      <c r="E35" s="171"/>
      <c r="F35" s="171"/>
      <c r="G35" s="171"/>
      <c r="H35" s="171"/>
      <c r="I35" s="171"/>
      <c r="J35" s="172"/>
    </row>
    <row r="36" spans="1:20" ht="6" customHeight="1">
      <c r="A36" s="18"/>
      <c r="B36" s="19"/>
      <c r="C36" s="19"/>
      <c r="D36" s="20"/>
      <c r="E36" s="20"/>
      <c r="F36" s="20"/>
      <c r="G36" s="20"/>
      <c r="H36" s="20"/>
      <c r="I36" s="20"/>
      <c r="J36" s="21"/>
    </row>
    <row r="37" spans="1:20" ht="12.75" customHeight="1">
      <c r="A37" s="159" t="s">
        <v>15</v>
      </c>
      <c r="B37" s="156"/>
      <c r="C37" s="156"/>
      <c r="D37" s="156"/>
      <c r="E37" s="156"/>
      <c r="F37" s="156"/>
      <c r="G37" s="156"/>
      <c r="H37" s="156"/>
      <c r="I37" s="156"/>
      <c r="J37" s="157"/>
    </row>
    <row r="38" spans="1:20" ht="12.75" customHeight="1">
      <c r="A38" s="158"/>
      <c r="B38" s="156"/>
      <c r="C38" s="156"/>
      <c r="D38" s="156"/>
      <c r="E38" s="156"/>
      <c r="F38" s="156"/>
      <c r="G38" s="156"/>
      <c r="H38" s="156"/>
      <c r="I38" s="156"/>
      <c r="J38" s="157"/>
    </row>
    <row r="39" spans="1:20" ht="12.75" customHeight="1">
      <c r="A39" s="158"/>
      <c r="B39" s="156"/>
      <c r="C39" s="156"/>
      <c r="D39" s="156"/>
      <c r="E39" s="156"/>
      <c r="F39" s="156"/>
      <c r="G39" s="156"/>
      <c r="H39" s="156"/>
      <c r="I39" s="156"/>
      <c r="J39" s="157"/>
    </row>
    <row r="40" spans="1:20" ht="6" customHeight="1">
      <c r="A40" s="158"/>
      <c r="B40" s="156"/>
      <c r="C40" s="156"/>
      <c r="D40" s="156"/>
      <c r="E40" s="156"/>
      <c r="F40" s="156"/>
      <c r="G40" s="156"/>
      <c r="H40" s="156"/>
      <c r="I40" s="156"/>
      <c r="J40" s="157"/>
    </row>
    <row r="41" spans="1:20" ht="21.75" customHeight="1">
      <c r="A41" s="158"/>
      <c r="B41" s="156"/>
      <c r="C41" s="156"/>
      <c r="D41" s="156"/>
      <c r="E41" s="156"/>
      <c r="F41" s="156"/>
      <c r="G41" s="156"/>
      <c r="H41" s="156"/>
      <c r="I41" s="156"/>
      <c r="J41" s="157"/>
      <c r="L41" s="175"/>
      <c r="M41" s="156"/>
      <c r="N41" s="156"/>
      <c r="O41" s="156"/>
      <c r="P41" s="156"/>
      <c r="Q41" s="156"/>
      <c r="R41" s="156"/>
      <c r="S41" s="156"/>
      <c r="T41" s="156"/>
    </row>
    <row r="42" spans="1:20" ht="12" customHeight="1">
      <c r="A42" s="158"/>
      <c r="B42" s="156"/>
      <c r="C42" s="156"/>
      <c r="D42" s="156"/>
      <c r="E42" s="156"/>
      <c r="F42" s="156"/>
      <c r="G42" s="156"/>
      <c r="H42" s="156"/>
      <c r="I42" s="156"/>
      <c r="J42" s="157"/>
      <c r="L42" s="156"/>
      <c r="M42" s="156"/>
      <c r="N42" s="156"/>
      <c r="O42" s="156"/>
      <c r="P42" s="156"/>
      <c r="Q42" s="156"/>
      <c r="R42" s="156"/>
      <c r="S42" s="156"/>
      <c r="T42" s="156"/>
    </row>
    <row r="43" spans="1:20" ht="12.75" customHeight="1">
      <c r="A43" s="158"/>
      <c r="B43" s="156"/>
      <c r="C43" s="156"/>
      <c r="D43" s="156"/>
      <c r="E43" s="156"/>
      <c r="F43" s="156"/>
      <c r="G43" s="156"/>
      <c r="H43" s="156"/>
      <c r="I43" s="156"/>
      <c r="J43" s="157"/>
      <c r="L43" s="156"/>
      <c r="M43" s="156"/>
      <c r="N43" s="156"/>
      <c r="O43" s="156"/>
      <c r="P43" s="156"/>
      <c r="Q43" s="156"/>
      <c r="R43" s="156"/>
      <c r="S43" s="156"/>
      <c r="T43" s="156"/>
    </row>
    <row r="44" spans="1:20" ht="12.75" customHeight="1">
      <c r="A44" s="158"/>
      <c r="B44" s="156"/>
      <c r="C44" s="156"/>
      <c r="D44" s="156"/>
      <c r="E44" s="156"/>
      <c r="F44" s="156"/>
      <c r="G44" s="156"/>
      <c r="H44" s="156"/>
      <c r="I44" s="156"/>
      <c r="J44" s="157"/>
      <c r="L44" s="156"/>
      <c r="M44" s="156"/>
      <c r="N44" s="156"/>
      <c r="O44" s="156"/>
      <c r="P44" s="156"/>
      <c r="Q44" s="156"/>
      <c r="R44" s="156"/>
      <c r="S44" s="156"/>
      <c r="T44" s="156"/>
    </row>
    <row r="45" spans="1:20" ht="6" customHeight="1">
      <c r="A45" s="158"/>
      <c r="B45" s="156"/>
      <c r="C45" s="156"/>
      <c r="D45" s="156"/>
      <c r="E45" s="156"/>
      <c r="F45" s="156"/>
      <c r="G45" s="156"/>
      <c r="H45" s="156"/>
      <c r="I45" s="156"/>
      <c r="J45" s="157"/>
      <c r="L45" s="156"/>
      <c r="M45" s="156"/>
      <c r="N45" s="156"/>
      <c r="O45" s="156"/>
      <c r="P45" s="156"/>
      <c r="Q45" s="156"/>
      <c r="R45" s="156"/>
      <c r="S45" s="156"/>
      <c r="T45" s="156"/>
    </row>
    <row r="46" spans="1:20" ht="12.75" customHeight="1">
      <c r="A46" s="158"/>
      <c r="B46" s="156"/>
      <c r="C46" s="156"/>
      <c r="D46" s="156"/>
      <c r="E46" s="156"/>
      <c r="F46" s="156"/>
      <c r="G46" s="156"/>
      <c r="H46" s="156"/>
      <c r="I46" s="156"/>
      <c r="J46" s="157"/>
    </row>
    <row r="47" spans="1:20" ht="12.75" customHeight="1">
      <c r="A47" s="158"/>
      <c r="B47" s="156"/>
      <c r="C47" s="156"/>
      <c r="D47" s="156"/>
      <c r="E47" s="156"/>
      <c r="F47" s="156"/>
      <c r="G47" s="156"/>
      <c r="H47" s="156"/>
      <c r="I47" s="156"/>
      <c r="J47" s="157"/>
    </row>
    <row r="48" spans="1:20" ht="12.75" customHeight="1">
      <c r="A48" s="158"/>
      <c r="B48" s="156"/>
      <c r="C48" s="156"/>
      <c r="D48" s="156"/>
      <c r="E48" s="156"/>
      <c r="F48" s="156"/>
      <c r="G48" s="156"/>
      <c r="H48" s="156"/>
      <c r="I48" s="156"/>
      <c r="J48" s="157"/>
      <c r="L48" s="175"/>
      <c r="M48" s="156"/>
      <c r="N48" s="156"/>
      <c r="O48" s="156"/>
      <c r="P48" s="156"/>
      <c r="Q48" s="156"/>
      <c r="R48" s="156"/>
      <c r="S48" s="156"/>
      <c r="T48" s="156"/>
    </row>
    <row r="49" spans="1:26" ht="12" customHeight="1">
      <c r="A49" s="158"/>
      <c r="B49" s="156"/>
      <c r="C49" s="156"/>
      <c r="D49" s="156"/>
      <c r="E49" s="156"/>
      <c r="F49" s="156"/>
      <c r="G49" s="156"/>
      <c r="H49" s="156"/>
      <c r="I49" s="156"/>
      <c r="J49" s="157"/>
      <c r="L49" s="156"/>
      <c r="M49" s="156"/>
      <c r="N49" s="156"/>
      <c r="O49" s="156"/>
      <c r="P49" s="156"/>
      <c r="Q49" s="156"/>
      <c r="R49" s="156"/>
      <c r="S49" s="156"/>
      <c r="T49" s="156"/>
    </row>
    <row r="50" spans="1:26" ht="55.5" customHeight="1">
      <c r="A50" s="158"/>
      <c r="B50" s="156"/>
      <c r="C50" s="156"/>
      <c r="D50" s="156"/>
      <c r="E50" s="156"/>
      <c r="F50" s="156"/>
      <c r="G50" s="156"/>
      <c r="H50" s="156"/>
      <c r="I50" s="156"/>
      <c r="J50" s="157"/>
      <c r="K50" s="23"/>
      <c r="L50" s="156"/>
      <c r="M50" s="156"/>
      <c r="N50" s="156"/>
      <c r="O50" s="156"/>
      <c r="P50" s="156"/>
      <c r="Q50" s="156"/>
      <c r="R50" s="156"/>
      <c r="S50" s="156"/>
      <c r="T50" s="156"/>
      <c r="U50" s="23"/>
      <c r="V50" s="23"/>
      <c r="W50" s="23"/>
      <c r="X50" s="23"/>
      <c r="Y50" s="23"/>
      <c r="Z50" s="23"/>
    </row>
    <row r="51" spans="1:26" ht="14.25" customHeight="1">
      <c r="A51" s="24"/>
      <c r="B51" s="25"/>
      <c r="C51" s="25"/>
      <c r="D51" s="25"/>
      <c r="E51" s="25"/>
      <c r="F51" s="25"/>
      <c r="G51" s="25"/>
      <c r="H51" s="25"/>
      <c r="I51" s="25"/>
      <c r="J51" s="26"/>
    </row>
    <row r="52" spans="1:26" ht="12.75" customHeight="1">
      <c r="A52" s="22"/>
      <c r="B52" s="22"/>
      <c r="C52" s="22"/>
      <c r="D52" s="22"/>
      <c r="E52" s="22"/>
      <c r="F52" s="22"/>
      <c r="G52" s="22"/>
      <c r="H52" s="22"/>
      <c r="I52" s="22"/>
      <c r="J52" s="22"/>
    </row>
    <row r="53" spans="1:26" ht="12.75" customHeight="1">
      <c r="A53" s="22"/>
      <c r="B53" s="22"/>
      <c r="C53" s="22"/>
      <c r="D53" s="22"/>
      <c r="E53" s="22"/>
      <c r="F53" s="22"/>
      <c r="G53" s="22"/>
      <c r="H53" s="22"/>
      <c r="I53" s="22"/>
      <c r="J53" s="2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2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5">
    <mergeCell ref="A30:J30"/>
    <mergeCell ref="A31:E31"/>
    <mergeCell ref="F31:J31"/>
    <mergeCell ref="A37:J50"/>
    <mergeCell ref="L41:T45"/>
    <mergeCell ref="L48:T50"/>
    <mergeCell ref="A32:E32"/>
    <mergeCell ref="F32:J32"/>
    <mergeCell ref="A33:C33"/>
    <mergeCell ref="D33:J33"/>
    <mergeCell ref="A34:C34"/>
    <mergeCell ref="D34:J34"/>
    <mergeCell ref="A35:J35"/>
    <mergeCell ref="N27:R27"/>
    <mergeCell ref="A28:C28"/>
    <mergeCell ref="D28:J28"/>
    <mergeCell ref="A29:C29"/>
    <mergeCell ref="D29:J29"/>
    <mergeCell ref="A25:J25"/>
    <mergeCell ref="A26:E26"/>
    <mergeCell ref="F26:J26"/>
    <mergeCell ref="A27:E27"/>
    <mergeCell ref="F27:J27"/>
    <mergeCell ref="A24:E24"/>
    <mergeCell ref="A8:J14"/>
    <mergeCell ref="A15:J15"/>
    <mergeCell ref="A16:J17"/>
    <mergeCell ref="A19:J20"/>
    <mergeCell ref="F23:J23"/>
    <mergeCell ref="F24:J24"/>
    <mergeCell ref="A3:J3"/>
    <mergeCell ref="A4:J4"/>
    <mergeCell ref="A5:J5"/>
    <mergeCell ref="A6:J6"/>
    <mergeCell ref="A23:E23"/>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7290A23B-3FD2-4465-AE09-313C344C9062}"/>
    <hyperlink ref="D34" r:id="rId2" xr:uid="{35A09C9C-8D61-4FD2-8901-49AEA206747C}"/>
  </hyperlinks>
  <printOptions horizontalCentered="1"/>
  <pageMargins left="0.5" right="0.5" top="0.5" bottom="0.5" header="0" footer="0"/>
  <pageSetup orientation="portrait" r:id="rId3"/>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5" activePane="bottomLeft" state="frozen"/>
      <selection pane="bottomLeft" activeCell="V9" sqref="V9"/>
    </sheetView>
  </sheetViews>
  <sheetFormatPr defaultColWidth="12.54296875" defaultRowHeight="15" customHeight="1"/>
  <cols>
    <col min="1" max="1" width="3.54296875" customWidth="1"/>
    <col min="2" max="4" width="8.81640625" customWidth="1"/>
    <col min="5" max="6" width="6.453125" customWidth="1"/>
    <col min="7" max="14" width="5.54296875" customWidth="1"/>
    <col min="15" max="15" width="6.54296875" customWidth="1"/>
    <col min="16" max="26" width="8.81640625" customWidth="1"/>
  </cols>
  <sheetData>
    <row r="1" spans="1:26" ht="15.75" customHeight="1">
      <c r="A1" s="180" t="s">
        <v>16</v>
      </c>
      <c r="B1" s="152"/>
      <c r="C1" s="152"/>
      <c r="D1" s="152"/>
      <c r="E1" s="152"/>
      <c r="F1" s="152"/>
      <c r="G1" s="152"/>
      <c r="H1" s="152"/>
      <c r="I1" s="152"/>
      <c r="J1" s="181"/>
      <c r="K1" s="182" t="str">
        <f>'CONTACT INFORMATION'!$A$24</f>
        <v>Humboldt</v>
      </c>
      <c r="L1" s="152"/>
      <c r="M1" s="152"/>
      <c r="N1" s="152"/>
      <c r="O1" s="153"/>
      <c r="P1" s="28"/>
      <c r="Q1" s="28"/>
      <c r="R1" s="28"/>
      <c r="S1" s="28"/>
      <c r="T1" s="28"/>
      <c r="U1" s="28"/>
      <c r="V1" s="28"/>
      <c r="W1" s="28"/>
      <c r="X1" s="28"/>
      <c r="Y1" s="28"/>
      <c r="Z1" s="28"/>
    </row>
    <row r="2" spans="1:26" ht="8.25" customHeight="1">
      <c r="A2" s="29"/>
      <c r="B2" s="29"/>
      <c r="C2" s="29"/>
      <c r="D2" s="29"/>
      <c r="E2" s="29"/>
      <c r="F2" s="29"/>
      <c r="G2" s="29"/>
      <c r="H2" s="29"/>
      <c r="I2" s="29"/>
      <c r="J2" s="29"/>
      <c r="K2" s="30"/>
      <c r="L2" s="30"/>
      <c r="M2" s="30"/>
      <c r="N2" s="30"/>
      <c r="O2" s="30"/>
    </row>
    <row r="3" spans="1:26" ht="15.75" customHeight="1">
      <c r="A3" s="183" t="s">
        <v>17</v>
      </c>
      <c r="B3" s="184"/>
      <c r="C3" s="184"/>
      <c r="D3" s="184"/>
      <c r="E3" s="184"/>
      <c r="F3" s="184"/>
      <c r="G3" s="184"/>
      <c r="H3" s="184"/>
      <c r="I3" s="184"/>
      <c r="J3" s="184"/>
      <c r="K3" s="184"/>
      <c r="L3" s="184"/>
      <c r="M3" s="184"/>
      <c r="N3" s="184"/>
      <c r="O3" s="185"/>
    </row>
    <row r="4" spans="1:26" ht="59.25" customHeight="1">
      <c r="A4" s="186" t="s">
        <v>951</v>
      </c>
      <c r="B4" s="171"/>
      <c r="C4" s="171"/>
      <c r="D4" s="171"/>
      <c r="E4" s="171"/>
      <c r="F4" s="171"/>
      <c r="G4" s="171"/>
      <c r="H4" s="171"/>
      <c r="I4" s="171"/>
      <c r="J4" s="171"/>
      <c r="K4" s="171"/>
      <c r="L4" s="171"/>
      <c r="M4" s="171"/>
      <c r="N4" s="171"/>
      <c r="O4" s="172"/>
      <c r="P4" s="31"/>
      <c r="Q4" s="31"/>
      <c r="R4" s="31"/>
      <c r="S4" s="31"/>
      <c r="T4" s="31"/>
      <c r="U4" s="31"/>
      <c r="V4" s="31"/>
      <c r="W4" s="31"/>
      <c r="X4" s="31"/>
      <c r="Y4" s="31"/>
      <c r="Z4" s="31"/>
    </row>
    <row r="5" spans="1:26" ht="12.75" customHeight="1">
      <c r="A5" s="32"/>
      <c r="B5" s="33"/>
      <c r="C5" s="33"/>
      <c r="D5" s="33"/>
      <c r="E5" s="33"/>
      <c r="F5" s="33"/>
      <c r="G5" s="33"/>
      <c r="H5" s="33"/>
      <c r="I5" s="33"/>
      <c r="J5" s="33"/>
      <c r="K5" s="33"/>
      <c r="L5" s="33"/>
      <c r="M5" s="33"/>
      <c r="N5" s="33"/>
      <c r="O5" s="34"/>
      <c r="P5" s="31"/>
      <c r="Q5" s="31"/>
      <c r="R5" s="31"/>
      <c r="S5" s="31"/>
      <c r="T5" s="31"/>
      <c r="U5" s="31"/>
      <c r="V5" s="31"/>
      <c r="W5" s="31"/>
      <c r="X5" s="31"/>
      <c r="Y5" s="31"/>
      <c r="Z5" s="31"/>
    </row>
    <row r="6" spans="1:26" ht="12.75" customHeight="1">
      <c r="A6" s="32"/>
      <c r="B6" s="33"/>
      <c r="C6" s="187"/>
      <c r="D6" s="156"/>
      <c r="E6" s="156"/>
      <c r="F6" s="156"/>
      <c r="G6" s="156"/>
      <c r="H6" s="156"/>
      <c r="I6" s="156"/>
      <c r="J6" s="156"/>
      <c r="K6" s="156"/>
      <c r="L6" s="156"/>
      <c r="M6" s="33"/>
      <c r="N6" s="33"/>
      <c r="O6" s="34"/>
      <c r="P6" s="31"/>
      <c r="Q6" s="31"/>
      <c r="R6" s="31"/>
      <c r="S6" s="31"/>
      <c r="T6" s="31"/>
      <c r="U6" s="31"/>
      <c r="V6" s="31"/>
      <c r="W6" s="31"/>
      <c r="X6" s="31"/>
      <c r="Y6" s="31"/>
      <c r="Z6" s="31"/>
    </row>
    <row r="7" spans="1:26" ht="17.25" customHeight="1">
      <c r="A7" s="35"/>
      <c r="D7" s="188" t="s">
        <v>18</v>
      </c>
      <c r="E7" s="156"/>
      <c r="F7" s="156"/>
      <c r="G7" s="156"/>
      <c r="H7" s="156"/>
      <c r="I7" s="156"/>
      <c r="J7" s="156"/>
      <c r="K7" s="156"/>
      <c r="L7" s="156"/>
      <c r="M7" s="37"/>
      <c r="O7" s="38"/>
    </row>
    <row r="8" spans="1:26" ht="12.75" customHeight="1">
      <c r="A8" s="39"/>
      <c r="B8" s="40"/>
      <c r="C8" s="23"/>
      <c r="D8" s="23"/>
      <c r="E8" s="190" t="s">
        <v>19</v>
      </c>
      <c r="F8" s="152"/>
      <c r="G8" s="152"/>
      <c r="H8" s="153"/>
      <c r="I8" s="189">
        <v>8</v>
      </c>
      <c r="J8" s="153"/>
      <c r="K8" s="41"/>
      <c r="L8" s="41"/>
      <c r="M8" s="41"/>
      <c r="N8" s="42"/>
      <c r="O8" s="43"/>
      <c r="P8" s="23"/>
      <c r="Q8" s="23"/>
      <c r="R8" s="23"/>
      <c r="S8" s="23"/>
      <c r="T8" s="23"/>
      <c r="U8" s="23"/>
      <c r="V8" s="23"/>
      <c r="W8" s="23"/>
      <c r="X8" s="23"/>
      <c r="Y8" s="23"/>
      <c r="Z8" s="23"/>
    </row>
    <row r="9" spans="1:26" ht="12.75" customHeight="1">
      <c r="A9" s="39"/>
      <c r="B9" s="40"/>
      <c r="C9" s="23"/>
      <c r="D9" s="23"/>
      <c r="E9" s="191" t="s">
        <v>20</v>
      </c>
      <c r="F9" s="152"/>
      <c r="G9" s="152"/>
      <c r="H9" s="153"/>
      <c r="I9" s="192">
        <v>46</v>
      </c>
      <c r="J9" s="153"/>
      <c r="K9" s="41"/>
      <c r="L9" s="41"/>
      <c r="M9" s="41"/>
      <c r="N9" s="42"/>
      <c r="O9" s="43"/>
      <c r="P9" s="23"/>
      <c r="Q9" s="23"/>
      <c r="R9" s="23"/>
      <c r="S9" s="23"/>
      <c r="T9" s="23"/>
      <c r="U9" s="23"/>
      <c r="V9" s="23"/>
      <c r="W9" s="23"/>
      <c r="X9" s="23"/>
      <c r="Y9" s="23"/>
      <c r="Z9" s="23"/>
    </row>
    <row r="10" spans="1:26" ht="12.75" customHeight="1">
      <c r="A10" s="39"/>
      <c r="B10" s="40"/>
      <c r="C10" s="23"/>
      <c r="D10" s="23"/>
      <c r="E10" s="190" t="s">
        <v>21</v>
      </c>
      <c r="F10" s="152"/>
      <c r="G10" s="152"/>
      <c r="H10" s="153"/>
      <c r="I10" s="189">
        <v>44</v>
      </c>
      <c r="J10" s="153"/>
      <c r="K10" s="41"/>
      <c r="L10" s="41"/>
      <c r="M10" s="41"/>
      <c r="N10" s="42"/>
      <c r="O10" s="43"/>
      <c r="P10" s="23"/>
      <c r="Q10" s="23"/>
      <c r="R10" s="23"/>
      <c r="S10" s="23"/>
      <c r="T10" s="23"/>
      <c r="U10" s="23"/>
      <c r="V10" s="23"/>
      <c r="W10" s="23"/>
      <c r="X10" s="23"/>
      <c r="Y10" s="23"/>
      <c r="Z10" s="23"/>
    </row>
    <row r="11" spans="1:26" ht="12.75" customHeight="1">
      <c r="A11" s="39"/>
      <c r="B11" s="40"/>
      <c r="C11" s="23"/>
      <c r="D11" s="23"/>
      <c r="E11" s="44"/>
      <c r="F11" s="44"/>
      <c r="G11" s="44"/>
      <c r="H11" s="44"/>
      <c r="I11" s="45"/>
      <c r="J11" s="45"/>
      <c r="K11" s="41"/>
      <c r="L11" s="41"/>
      <c r="M11" s="41"/>
      <c r="N11" s="42"/>
      <c r="O11" s="43"/>
      <c r="P11" s="23"/>
      <c r="Q11" s="23"/>
      <c r="R11" s="23"/>
      <c r="S11" s="23"/>
      <c r="T11" s="23"/>
      <c r="U11" s="23"/>
      <c r="V11" s="23"/>
      <c r="W11" s="23"/>
      <c r="X11" s="23"/>
      <c r="Y11" s="23"/>
      <c r="Z11" s="23"/>
    </row>
    <row r="12" spans="1:26" ht="12.75" customHeight="1">
      <c r="A12" s="39"/>
      <c r="E12" s="41"/>
      <c r="F12" s="41"/>
      <c r="G12" s="41"/>
      <c r="H12" s="41"/>
      <c r="I12" s="42"/>
      <c r="J12" s="42"/>
      <c r="K12" s="42"/>
      <c r="L12" s="42"/>
      <c r="M12" s="42"/>
      <c r="N12" s="42"/>
      <c r="O12" s="43"/>
    </row>
    <row r="13" spans="1:26" ht="17.25" customHeight="1">
      <c r="A13" s="46"/>
      <c r="B13" s="31"/>
      <c r="C13" s="31"/>
      <c r="D13" s="188" t="s">
        <v>22</v>
      </c>
      <c r="E13" s="156"/>
      <c r="F13" s="156"/>
      <c r="G13" s="156"/>
      <c r="H13" s="156"/>
      <c r="I13" s="156"/>
      <c r="J13" s="156"/>
      <c r="K13" s="156"/>
      <c r="L13" s="156"/>
      <c r="M13" s="47"/>
      <c r="N13" s="47"/>
      <c r="O13" s="48"/>
      <c r="P13" s="31"/>
      <c r="Q13" s="31"/>
      <c r="R13" s="31"/>
      <c r="S13" s="31"/>
      <c r="T13" s="31"/>
      <c r="U13" s="31"/>
      <c r="V13" s="31"/>
      <c r="W13" s="31"/>
      <c r="X13" s="31"/>
      <c r="Y13" s="31"/>
      <c r="Z13" s="31"/>
    </row>
    <row r="14" spans="1:26" ht="12.75" customHeight="1">
      <c r="A14" s="39"/>
      <c r="E14" s="190" t="s">
        <v>23</v>
      </c>
      <c r="F14" s="152"/>
      <c r="G14" s="152"/>
      <c r="H14" s="153"/>
      <c r="I14" s="189">
        <v>135</v>
      </c>
      <c r="J14" s="153"/>
      <c r="K14" s="42"/>
      <c r="L14" s="42"/>
      <c r="M14" s="42"/>
      <c r="N14" s="42"/>
      <c r="O14" s="43"/>
    </row>
    <row r="15" spans="1:26" ht="12.75" customHeight="1">
      <c r="A15" s="39"/>
      <c r="E15" s="191" t="s">
        <v>24</v>
      </c>
      <c r="F15" s="152"/>
      <c r="G15" s="152"/>
      <c r="H15" s="153"/>
      <c r="I15" s="192">
        <v>99</v>
      </c>
      <c r="J15" s="153"/>
      <c r="K15" s="42"/>
      <c r="L15" s="42"/>
      <c r="M15" s="42"/>
      <c r="N15" s="42"/>
      <c r="O15" s="43"/>
    </row>
    <row r="16" spans="1:26" ht="12.75" customHeight="1">
      <c r="A16" s="39"/>
      <c r="E16" s="193" t="s">
        <v>25</v>
      </c>
      <c r="F16" s="152"/>
      <c r="G16" s="152"/>
      <c r="H16" s="153"/>
      <c r="I16" s="194">
        <f>SUM(I14:J15)</f>
        <v>234</v>
      </c>
      <c r="J16" s="153"/>
      <c r="K16" s="42"/>
      <c r="L16" s="42"/>
      <c r="M16" s="42"/>
      <c r="N16" s="42"/>
      <c r="O16" s="43"/>
    </row>
    <row r="17" spans="1:26" ht="12.75" customHeight="1">
      <c r="A17" s="39"/>
      <c r="E17" s="42"/>
      <c r="F17" s="42"/>
      <c r="G17" s="42"/>
      <c r="H17" s="42"/>
      <c r="I17" s="42"/>
      <c r="J17" s="42"/>
      <c r="K17" s="42"/>
      <c r="L17" s="42"/>
      <c r="M17" s="42"/>
      <c r="N17" s="42"/>
      <c r="O17" s="43"/>
    </row>
    <row r="18" spans="1:26" ht="12.75" customHeight="1">
      <c r="A18" s="39"/>
      <c r="E18" s="42"/>
      <c r="F18" s="42"/>
      <c r="G18" s="42"/>
      <c r="H18" s="42"/>
      <c r="I18" s="42"/>
      <c r="J18" s="42"/>
      <c r="K18" s="42"/>
      <c r="L18" s="42"/>
      <c r="M18" s="42"/>
      <c r="N18" s="42"/>
      <c r="O18" s="43"/>
    </row>
    <row r="19" spans="1:26" ht="17.25" customHeight="1">
      <c r="A19" s="46"/>
      <c r="B19" s="31"/>
      <c r="C19" s="31"/>
      <c r="D19" s="36" t="s">
        <v>26</v>
      </c>
      <c r="E19" s="36"/>
      <c r="F19" s="36"/>
      <c r="G19" s="36"/>
      <c r="H19" s="36"/>
      <c r="I19" s="36"/>
      <c r="J19" s="36"/>
      <c r="K19" s="49"/>
      <c r="L19" s="47"/>
      <c r="M19" s="47"/>
      <c r="N19" s="47"/>
      <c r="O19" s="48"/>
      <c r="P19" s="31"/>
      <c r="Q19" s="31"/>
      <c r="R19" s="31"/>
      <c r="S19" s="31"/>
      <c r="T19" s="31"/>
      <c r="U19" s="31"/>
      <c r="V19" s="31"/>
      <c r="W19" s="31"/>
      <c r="X19" s="31"/>
      <c r="Y19" s="31"/>
      <c r="Z19" s="31"/>
    </row>
    <row r="20" spans="1:26" ht="12.75" customHeight="1">
      <c r="A20" s="39"/>
      <c r="E20" s="190" t="s">
        <v>27</v>
      </c>
      <c r="F20" s="152"/>
      <c r="G20" s="152"/>
      <c r="H20" s="153"/>
      <c r="I20" s="189">
        <v>33</v>
      </c>
      <c r="J20" s="153"/>
      <c r="K20" s="42"/>
      <c r="L20" s="42"/>
      <c r="M20" s="42"/>
      <c r="N20" s="42"/>
      <c r="O20" s="43"/>
    </row>
    <row r="21" spans="1:26" ht="12.75" customHeight="1">
      <c r="A21" s="39"/>
      <c r="E21" s="191" t="s">
        <v>28</v>
      </c>
      <c r="F21" s="152"/>
      <c r="G21" s="152"/>
      <c r="H21" s="153"/>
      <c r="I21" s="195">
        <v>136</v>
      </c>
      <c r="J21" s="153"/>
      <c r="K21" s="42"/>
      <c r="L21" s="42"/>
      <c r="M21" s="42"/>
      <c r="N21" s="42"/>
      <c r="O21" s="43"/>
    </row>
    <row r="22" spans="1:26" ht="12.75" customHeight="1">
      <c r="A22" s="39"/>
      <c r="E22" s="190" t="s">
        <v>29</v>
      </c>
      <c r="F22" s="152"/>
      <c r="G22" s="152"/>
      <c r="H22" s="153"/>
      <c r="I22" s="189">
        <v>10</v>
      </c>
      <c r="J22" s="153"/>
      <c r="K22" s="42"/>
      <c r="L22" s="42"/>
      <c r="M22" s="42"/>
      <c r="N22" s="42"/>
      <c r="O22" s="43"/>
    </row>
    <row r="23" spans="1:26" ht="12.75" customHeight="1">
      <c r="A23" s="39"/>
      <c r="E23" s="191" t="s">
        <v>30</v>
      </c>
      <c r="F23" s="152"/>
      <c r="G23" s="152"/>
      <c r="H23" s="153"/>
      <c r="I23" s="192">
        <v>2</v>
      </c>
      <c r="J23" s="153"/>
      <c r="K23" s="42"/>
      <c r="L23" s="42"/>
      <c r="M23" s="42"/>
      <c r="N23" s="42"/>
      <c r="O23" s="43"/>
    </row>
    <row r="24" spans="1:26" ht="12.75" customHeight="1">
      <c r="A24" s="39"/>
      <c r="E24" s="190" t="s">
        <v>31</v>
      </c>
      <c r="F24" s="152"/>
      <c r="G24" s="152"/>
      <c r="H24" s="153"/>
      <c r="I24" s="189">
        <v>1</v>
      </c>
      <c r="J24" s="153"/>
      <c r="K24" s="42"/>
      <c r="L24" s="42"/>
      <c r="M24" s="42"/>
      <c r="N24" s="42"/>
      <c r="O24" s="43"/>
    </row>
    <row r="25" spans="1:26" ht="12.75" customHeight="1">
      <c r="A25" s="39"/>
      <c r="E25" s="191" t="s">
        <v>32</v>
      </c>
      <c r="F25" s="152"/>
      <c r="G25" s="152"/>
      <c r="H25" s="153"/>
      <c r="I25" s="192">
        <v>40</v>
      </c>
      <c r="J25" s="153"/>
      <c r="K25" s="42"/>
      <c r="L25" s="42"/>
      <c r="M25" s="42"/>
      <c r="N25" s="42"/>
      <c r="O25" s="43"/>
    </row>
    <row r="26" spans="1:26" ht="12.75" customHeight="1">
      <c r="A26" s="39"/>
      <c r="E26" s="190" t="s">
        <v>33</v>
      </c>
      <c r="F26" s="152"/>
      <c r="G26" s="152"/>
      <c r="H26" s="153"/>
      <c r="I26" s="189">
        <v>12</v>
      </c>
      <c r="J26" s="153"/>
      <c r="K26" s="42"/>
      <c r="L26" s="42"/>
      <c r="M26" s="42"/>
      <c r="N26" s="42"/>
      <c r="O26" s="43"/>
    </row>
    <row r="27" spans="1:26" ht="12.75" customHeight="1">
      <c r="A27" s="39"/>
      <c r="E27" s="193" t="s">
        <v>25</v>
      </c>
      <c r="F27" s="152"/>
      <c r="G27" s="152"/>
      <c r="H27" s="153"/>
      <c r="I27" s="194">
        <f>SUM(I20:J26)</f>
        <v>234</v>
      </c>
      <c r="J27" s="153"/>
      <c r="K27" s="50"/>
      <c r="L27" s="50"/>
      <c r="M27" s="50"/>
      <c r="N27" s="50"/>
      <c r="O27" s="51"/>
    </row>
    <row r="28" spans="1:26" ht="12.75" customHeight="1">
      <c r="A28" s="39"/>
      <c r="B28" s="52"/>
      <c r="F28" s="50"/>
      <c r="G28" s="50"/>
      <c r="H28" s="50"/>
      <c r="I28" s="50"/>
      <c r="J28" s="50"/>
      <c r="K28" s="50"/>
      <c r="L28" s="50"/>
      <c r="M28" s="50"/>
      <c r="N28" s="50"/>
      <c r="O28" s="51"/>
    </row>
    <row r="29" spans="1:26" ht="12.75" customHeight="1">
      <c r="A29" s="53"/>
      <c r="B29" s="54"/>
      <c r="C29" s="55"/>
      <c r="D29" s="55"/>
      <c r="E29" s="55"/>
      <c r="F29" s="56"/>
      <c r="G29" s="56"/>
      <c r="H29" s="56"/>
      <c r="I29" s="56"/>
      <c r="J29" s="56"/>
      <c r="K29" s="56"/>
      <c r="L29" s="56"/>
      <c r="M29" s="56"/>
      <c r="N29" s="56"/>
      <c r="O29" s="57"/>
    </row>
    <row r="30" spans="1:26" ht="14.25" customHeight="1"/>
    <row r="31" spans="1:26" ht="13.5" customHeight="1">
      <c r="A31" s="58" t="s">
        <v>34</v>
      </c>
    </row>
    <row r="32" spans="1:26" ht="13.5" customHeight="1">
      <c r="A32" s="196" t="s">
        <v>970</v>
      </c>
      <c r="B32" s="197"/>
      <c r="C32" s="197"/>
      <c r="D32" s="197"/>
      <c r="E32" s="197"/>
      <c r="F32" s="197"/>
      <c r="G32" s="197"/>
      <c r="H32" s="197"/>
      <c r="I32" s="197"/>
      <c r="J32" s="197"/>
      <c r="K32" s="197"/>
      <c r="L32" s="197"/>
      <c r="M32" s="197"/>
      <c r="N32" s="197"/>
      <c r="O32" s="198"/>
    </row>
    <row r="33" spans="1:26" ht="13.5" customHeight="1">
      <c r="A33" s="158"/>
      <c r="B33" s="156"/>
      <c r="C33" s="156"/>
      <c r="D33" s="156"/>
      <c r="E33" s="156"/>
      <c r="F33" s="156"/>
      <c r="G33" s="156"/>
      <c r="H33" s="156"/>
      <c r="I33" s="156"/>
      <c r="J33" s="156"/>
      <c r="K33" s="156"/>
      <c r="L33" s="156"/>
      <c r="M33" s="156"/>
      <c r="N33" s="156"/>
      <c r="O33" s="157"/>
    </row>
    <row r="34" spans="1:26" ht="13.5" customHeight="1">
      <c r="A34" s="158"/>
      <c r="B34" s="156"/>
      <c r="C34" s="156"/>
      <c r="D34" s="156"/>
      <c r="E34" s="156"/>
      <c r="F34" s="156"/>
      <c r="G34" s="156"/>
      <c r="H34" s="156"/>
      <c r="I34" s="156"/>
      <c r="J34" s="156"/>
      <c r="K34" s="156"/>
      <c r="L34" s="156"/>
      <c r="M34" s="156"/>
      <c r="N34" s="156"/>
      <c r="O34" s="157"/>
    </row>
    <row r="35" spans="1:26" ht="13.5" customHeight="1">
      <c r="A35" s="158"/>
      <c r="B35" s="156"/>
      <c r="C35" s="156"/>
      <c r="D35" s="156"/>
      <c r="E35" s="156"/>
      <c r="F35" s="156"/>
      <c r="G35" s="156"/>
      <c r="H35" s="156"/>
      <c r="I35" s="156"/>
      <c r="J35" s="156"/>
      <c r="K35" s="156"/>
      <c r="L35" s="156"/>
      <c r="M35" s="156"/>
      <c r="N35" s="156"/>
      <c r="O35" s="157"/>
    </row>
    <row r="36" spans="1:26" ht="13.5" customHeight="1">
      <c r="A36" s="158"/>
      <c r="B36" s="156"/>
      <c r="C36" s="156"/>
      <c r="D36" s="156"/>
      <c r="E36" s="156"/>
      <c r="F36" s="156"/>
      <c r="G36" s="156"/>
      <c r="H36" s="156"/>
      <c r="I36" s="156"/>
      <c r="J36" s="156"/>
      <c r="K36" s="156"/>
      <c r="L36" s="156"/>
      <c r="M36" s="156"/>
      <c r="N36" s="156"/>
      <c r="O36" s="157"/>
    </row>
    <row r="37" spans="1:26" ht="13.5" customHeight="1">
      <c r="A37" s="158"/>
      <c r="B37" s="156"/>
      <c r="C37" s="156"/>
      <c r="D37" s="156"/>
      <c r="E37" s="156"/>
      <c r="F37" s="156"/>
      <c r="G37" s="156"/>
      <c r="H37" s="156"/>
      <c r="I37" s="156"/>
      <c r="J37" s="156"/>
      <c r="K37" s="156"/>
      <c r="L37" s="156"/>
      <c r="M37" s="156"/>
      <c r="N37" s="156"/>
      <c r="O37" s="157"/>
    </row>
    <row r="38" spans="1:26" ht="13.5" customHeight="1">
      <c r="A38" s="158"/>
      <c r="B38" s="156"/>
      <c r="C38" s="156"/>
      <c r="D38" s="156"/>
      <c r="E38" s="156"/>
      <c r="F38" s="156"/>
      <c r="G38" s="156"/>
      <c r="H38" s="156"/>
      <c r="I38" s="156"/>
      <c r="J38" s="156"/>
      <c r="K38" s="156"/>
      <c r="L38" s="156"/>
      <c r="M38" s="156"/>
      <c r="N38" s="156"/>
      <c r="O38" s="157"/>
    </row>
    <row r="39" spans="1:26" ht="13.5" customHeight="1">
      <c r="A39" s="158"/>
      <c r="B39" s="156"/>
      <c r="C39" s="156"/>
      <c r="D39" s="156"/>
      <c r="E39" s="156"/>
      <c r="F39" s="156"/>
      <c r="G39" s="156"/>
      <c r="H39" s="156"/>
      <c r="I39" s="156"/>
      <c r="J39" s="156"/>
      <c r="K39" s="156"/>
      <c r="L39" s="156"/>
      <c r="M39" s="156"/>
      <c r="N39" s="156"/>
      <c r="O39" s="157"/>
    </row>
    <row r="40" spans="1:26" ht="13.5" customHeight="1">
      <c r="A40" s="158"/>
      <c r="B40" s="156"/>
      <c r="C40" s="156"/>
      <c r="D40" s="156"/>
      <c r="E40" s="156"/>
      <c r="F40" s="156"/>
      <c r="G40" s="156"/>
      <c r="H40" s="156"/>
      <c r="I40" s="156"/>
      <c r="J40" s="156"/>
      <c r="K40" s="156"/>
      <c r="L40" s="156"/>
      <c r="M40" s="156"/>
      <c r="N40" s="156"/>
      <c r="O40" s="157"/>
    </row>
    <row r="41" spans="1:26" ht="13.5" customHeight="1">
      <c r="A41" s="158"/>
      <c r="B41" s="156"/>
      <c r="C41" s="156"/>
      <c r="D41" s="156"/>
      <c r="E41" s="156"/>
      <c r="F41" s="156"/>
      <c r="G41" s="156"/>
      <c r="H41" s="156"/>
      <c r="I41" s="156"/>
      <c r="J41" s="156"/>
      <c r="K41" s="156"/>
      <c r="L41" s="156"/>
      <c r="M41" s="156"/>
      <c r="N41" s="156"/>
      <c r="O41" s="157"/>
    </row>
    <row r="42" spans="1:26" ht="13.5" customHeight="1">
      <c r="A42" s="158"/>
      <c r="B42" s="156"/>
      <c r="C42" s="156"/>
      <c r="D42" s="156"/>
      <c r="E42" s="156"/>
      <c r="F42" s="156"/>
      <c r="G42" s="156"/>
      <c r="H42" s="156"/>
      <c r="I42" s="156"/>
      <c r="J42" s="156"/>
      <c r="K42" s="156"/>
      <c r="L42" s="156"/>
      <c r="M42" s="156"/>
      <c r="N42" s="156"/>
      <c r="O42" s="157"/>
    </row>
    <row r="43" spans="1:26" ht="13.5" customHeight="1">
      <c r="A43" s="199"/>
      <c r="B43" s="167"/>
      <c r="C43" s="167"/>
      <c r="D43" s="167"/>
      <c r="E43" s="167"/>
      <c r="F43" s="167"/>
      <c r="G43" s="167"/>
      <c r="H43" s="167"/>
      <c r="I43" s="167"/>
      <c r="J43" s="167"/>
      <c r="K43" s="167"/>
      <c r="L43" s="167"/>
      <c r="M43" s="167"/>
      <c r="N43" s="167"/>
      <c r="O43" s="168"/>
    </row>
    <row r="44" spans="1:26" ht="13.5" customHeight="1">
      <c r="A44" s="59"/>
      <c r="B44" s="59"/>
      <c r="C44" s="59"/>
      <c r="D44" s="59"/>
      <c r="E44" s="59"/>
      <c r="F44" s="60"/>
      <c r="G44" s="200"/>
      <c r="H44" s="156"/>
      <c r="I44" s="156"/>
      <c r="J44" s="156"/>
      <c r="K44" s="62"/>
      <c r="L44" s="63"/>
      <c r="M44" s="63"/>
      <c r="N44" s="201"/>
      <c r="O44" s="156"/>
      <c r="P44" s="63"/>
      <c r="Q44" s="63"/>
      <c r="R44" s="63"/>
      <c r="S44" s="63"/>
      <c r="T44" s="63"/>
      <c r="U44" s="63"/>
      <c r="V44" s="63"/>
      <c r="W44" s="63"/>
      <c r="X44" s="63"/>
      <c r="Y44" s="63"/>
      <c r="Z44" s="63"/>
    </row>
    <row r="45" spans="1:26" ht="12.75" customHeight="1">
      <c r="A45" s="64"/>
    </row>
    <row r="46" spans="1:26" ht="12.75" customHeight="1"/>
    <row r="47" spans="1:26" ht="12.75" customHeight="1"/>
    <row r="48" spans="1:26" ht="12.75" customHeight="1"/>
    <row r="49" spans="1:26" ht="12.75" customHeight="1"/>
    <row r="50" spans="1:26" ht="12.75" customHeight="1">
      <c r="A50" s="202"/>
      <c r="B50" s="156"/>
      <c r="C50" s="156"/>
      <c r="D50" s="156"/>
      <c r="E50" s="156"/>
      <c r="F50" s="156"/>
      <c r="G50" s="61"/>
      <c r="H50" s="61"/>
      <c r="I50" s="62"/>
      <c r="J50" s="62"/>
      <c r="K50" s="62"/>
      <c r="L50" s="63"/>
      <c r="M50" s="63"/>
      <c r="N50" s="201"/>
      <c r="O50" s="156"/>
      <c r="P50" s="63"/>
      <c r="Q50" s="63"/>
      <c r="R50" s="63"/>
      <c r="S50" s="63"/>
      <c r="T50" s="63"/>
      <c r="U50" s="63"/>
      <c r="V50" s="63"/>
      <c r="W50" s="63"/>
      <c r="X50" s="63"/>
      <c r="Y50" s="63"/>
      <c r="Z50" s="6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6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I24:J24"/>
    <mergeCell ref="A32:O43"/>
    <mergeCell ref="G44:J44"/>
    <mergeCell ref="N44:O44"/>
    <mergeCell ref="A50:F50"/>
    <mergeCell ref="N50:O50"/>
    <mergeCell ref="E24:H24"/>
    <mergeCell ref="E25:H25"/>
    <mergeCell ref="I25:J25"/>
    <mergeCell ref="E26:H26"/>
    <mergeCell ref="I26:J26"/>
    <mergeCell ref="E27:H27"/>
    <mergeCell ref="I27:J27"/>
    <mergeCell ref="E21:H21"/>
    <mergeCell ref="I21:J21"/>
    <mergeCell ref="E22:H22"/>
    <mergeCell ref="I22:J22"/>
    <mergeCell ref="E23:H23"/>
    <mergeCell ref="I23:J23"/>
    <mergeCell ref="E15:H15"/>
    <mergeCell ref="I15:J15"/>
    <mergeCell ref="E16:H16"/>
    <mergeCell ref="I16:J16"/>
    <mergeCell ref="E20:H20"/>
    <mergeCell ref="I20:J20"/>
    <mergeCell ref="E10:H10"/>
    <mergeCell ref="I10:J10"/>
    <mergeCell ref="D13:L13"/>
    <mergeCell ref="I14:J14"/>
    <mergeCell ref="E14:H14"/>
    <mergeCell ref="D7:L7"/>
    <mergeCell ref="I8:J8"/>
    <mergeCell ref="E8:H8"/>
    <mergeCell ref="E9:H9"/>
    <mergeCell ref="I9:J9"/>
    <mergeCell ref="A1:J1"/>
    <mergeCell ref="K1:O1"/>
    <mergeCell ref="A3:O3"/>
    <mergeCell ref="A4:O4"/>
    <mergeCell ref="C6:L6"/>
  </mergeCells>
  <printOptions horizontalCentered="1"/>
  <pageMargins left="0.2" right="0.2" top="0.75" bottom="0.75" header="0" footer="0"/>
  <pageSetup orientation="portrait" r:id="rId1"/>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5" activePane="bottomLeft" state="frozen"/>
      <selection pane="bottomLeft" activeCell="A48" sqref="A48:O54"/>
    </sheetView>
  </sheetViews>
  <sheetFormatPr defaultColWidth="12.54296875" defaultRowHeight="15" customHeight="1"/>
  <cols>
    <col min="1" max="1" width="3.54296875" customWidth="1"/>
    <col min="2" max="4" width="8.81640625" customWidth="1"/>
    <col min="5" max="5" width="6.54296875" customWidth="1"/>
    <col min="6" max="6" width="6.453125" customWidth="1"/>
    <col min="7" max="14" width="5.54296875" customWidth="1"/>
    <col min="15" max="15" width="6.54296875" customWidth="1"/>
    <col min="16" max="26" width="8.81640625" customWidth="1"/>
  </cols>
  <sheetData>
    <row r="1" spans="1:26" ht="15.75" customHeight="1">
      <c r="A1" s="207" t="s">
        <v>16</v>
      </c>
      <c r="B1" s="152"/>
      <c r="C1" s="152"/>
      <c r="D1" s="152"/>
      <c r="E1" s="152"/>
      <c r="F1" s="152"/>
      <c r="G1" s="152"/>
      <c r="H1" s="152"/>
      <c r="I1" s="152"/>
      <c r="J1" s="181"/>
      <c r="K1" s="208" t="str">
        <f>'CONTACT INFORMATION'!$A$24</f>
        <v>Humboldt</v>
      </c>
      <c r="L1" s="152"/>
      <c r="M1" s="152"/>
      <c r="N1" s="152"/>
      <c r="O1" s="153"/>
    </row>
    <row r="2" spans="1:26" ht="7.5" customHeight="1">
      <c r="A2" s="66"/>
      <c r="B2" s="66"/>
      <c r="C2" s="66"/>
      <c r="D2" s="66"/>
      <c r="E2" s="66"/>
      <c r="F2" s="66"/>
      <c r="G2" s="66"/>
      <c r="H2" s="66"/>
      <c r="I2" s="66"/>
      <c r="J2" s="66"/>
      <c r="K2" s="66"/>
      <c r="L2" s="66"/>
      <c r="M2" s="66"/>
      <c r="N2" s="66"/>
      <c r="O2" s="66"/>
    </row>
    <row r="3" spans="1:26" ht="24" customHeight="1">
      <c r="A3" s="209" t="s">
        <v>35</v>
      </c>
      <c r="B3" s="163"/>
      <c r="C3" s="163"/>
      <c r="D3" s="163"/>
      <c r="E3" s="163"/>
      <c r="F3" s="163"/>
      <c r="G3" s="163"/>
      <c r="H3" s="163"/>
      <c r="I3" s="163"/>
      <c r="J3" s="163"/>
      <c r="K3" s="163"/>
      <c r="L3" s="163"/>
      <c r="M3" s="163"/>
      <c r="N3" s="163"/>
      <c r="O3" s="164"/>
    </row>
    <row r="4" spans="1:26" ht="44.25" customHeight="1">
      <c r="A4" s="210" t="s">
        <v>950</v>
      </c>
      <c r="B4" s="171"/>
      <c r="C4" s="171"/>
      <c r="D4" s="171"/>
      <c r="E4" s="171"/>
      <c r="F4" s="171"/>
      <c r="G4" s="171"/>
      <c r="H4" s="171"/>
      <c r="I4" s="171"/>
      <c r="J4" s="171"/>
      <c r="K4" s="171"/>
      <c r="L4" s="171"/>
      <c r="M4" s="171"/>
      <c r="N4" s="171"/>
      <c r="O4" s="172"/>
      <c r="P4" s="31"/>
      <c r="Q4" s="31"/>
      <c r="R4" s="31"/>
      <c r="S4" s="31"/>
      <c r="T4" s="31"/>
      <c r="U4" s="31"/>
      <c r="V4" s="31"/>
      <c r="W4" s="31"/>
      <c r="X4" s="31"/>
      <c r="Y4" s="31"/>
      <c r="Z4" s="31"/>
    </row>
    <row r="5" spans="1:26" ht="7.5" customHeight="1">
      <c r="A5" s="32"/>
      <c r="B5" s="33"/>
      <c r="C5" s="33"/>
      <c r="D5" s="33"/>
      <c r="E5" s="33"/>
      <c r="F5" s="33"/>
      <c r="G5" s="33"/>
      <c r="H5" s="33"/>
      <c r="I5" s="33"/>
      <c r="J5" s="33"/>
      <c r="K5" s="33"/>
      <c r="L5" s="33"/>
      <c r="M5" s="33"/>
      <c r="N5" s="33"/>
      <c r="O5" s="34"/>
      <c r="P5" s="31"/>
      <c r="Q5" s="31"/>
      <c r="R5" s="31"/>
      <c r="S5" s="31"/>
      <c r="T5" s="31"/>
      <c r="U5" s="31"/>
      <c r="V5" s="31"/>
      <c r="W5" s="31"/>
      <c r="X5" s="31"/>
      <c r="Y5" s="31"/>
      <c r="Z5" s="31"/>
    </row>
    <row r="6" spans="1:26" ht="13.5" customHeight="1">
      <c r="A6" s="39"/>
      <c r="C6" s="211" t="s">
        <v>36</v>
      </c>
      <c r="D6" s="156"/>
      <c r="E6" s="156"/>
      <c r="F6" s="156"/>
      <c r="G6" s="156"/>
      <c r="H6" s="156"/>
      <c r="I6" s="156"/>
      <c r="J6" s="156"/>
      <c r="K6" s="156"/>
      <c r="L6" s="156"/>
      <c r="M6" s="67"/>
      <c r="N6" s="67"/>
      <c r="O6" s="68"/>
    </row>
    <row r="7" spans="1:26" ht="13.5" customHeight="1">
      <c r="A7" s="69"/>
      <c r="D7" s="212" t="s">
        <v>37</v>
      </c>
      <c r="E7" s="152"/>
      <c r="F7" s="152"/>
      <c r="G7" s="152"/>
      <c r="H7" s="152"/>
      <c r="I7" s="153"/>
      <c r="J7" s="213">
        <v>43</v>
      </c>
      <c r="K7" s="153"/>
      <c r="O7" s="38"/>
    </row>
    <row r="8" spans="1:26" ht="13.5" customHeight="1">
      <c r="A8" s="39"/>
      <c r="D8" s="214" t="s">
        <v>38</v>
      </c>
      <c r="E8" s="152"/>
      <c r="F8" s="152"/>
      <c r="G8" s="152"/>
      <c r="H8" s="152"/>
      <c r="I8" s="153"/>
      <c r="J8" s="215">
        <v>1</v>
      </c>
      <c r="K8" s="153"/>
      <c r="L8" s="70"/>
      <c r="M8" s="70"/>
      <c r="N8" s="70"/>
      <c r="O8" s="71"/>
    </row>
    <row r="9" spans="1:26" ht="13.5" customHeight="1">
      <c r="A9" s="39"/>
      <c r="D9" s="216" t="s">
        <v>25</v>
      </c>
      <c r="E9" s="152"/>
      <c r="F9" s="152"/>
      <c r="G9" s="152"/>
      <c r="H9" s="152"/>
      <c r="I9" s="153"/>
      <c r="J9" s="217">
        <f>SUM(I7:J8)</f>
        <v>44</v>
      </c>
      <c r="K9" s="153"/>
      <c r="L9" s="70"/>
      <c r="M9" s="70"/>
      <c r="N9" s="70"/>
      <c r="O9" s="71"/>
    </row>
    <row r="10" spans="1:26" ht="7.5" customHeight="1">
      <c r="A10" s="39"/>
      <c r="D10" s="72"/>
      <c r="E10" s="72"/>
      <c r="F10" s="72"/>
      <c r="G10" s="72"/>
      <c r="H10" s="72"/>
      <c r="I10" s="72"/>
      <c r="J10" s="73"/>
      <c r="K10" s="73"/>
      <c r="L10" s="70"/>
      <c r="M10" s="70"/>
      <c r="N10" s="70"/>
      <c r="O10" s="71"/>
    </row>
    <row r="11" spans="1:26" ht="13.5" customHeight="1">
      <c r="A11" s="39"/>
      <c r="C11" s="218" t="s">
        <v>39</v>
      </c>
      <c r="D11" s="156"/>
      <c r="E11" s="156"/>
      <c r="F11" s="156"/>
      <c r="G11" s="156"/>
      <c r="H11" s="70"/>
      <c r="I11" s="70"/>
      <c r="J11" s="70"/>
      <c r="K11" s="70"/>
      <c r="L11" s="70"/>
      <c r="M11" s="70"/>
      <c r="N11" s="70"/>
      <c r="O11" s="71"/>
    </row>
    <row r="12" spans="1:26" ht="13.5" customHeight="1">
      <c r="A12" s="39"/>
      <c r="D12" s="203" t="s">
        <v>19</v>
      </c>
      <c r="E12" s="152"/>
      <c r="F12" s="152"/>
      <c r="G12" s="152"/>
      <c r="H12" s="152"/>
      <c r="I12" s="181"/>
      <c r="J12" s="189">
        <v>20</v>
      </c>
      <c r="K12" s="153"/>
      <c r="L12" s="70"/>
      <c r="M12" s="70"/>
      <c r="N12" s="70"/>
      <c r="O12" s="71"/>
    </row>
    <row r="13" spans="1:26" ht="13.5" customHeight="1">
      <c r="A13" s="39"/>
      <c r="D13" s="204" t="s">
        <v>40</v>
      </c>
      <c r="E13" s="152"/>
      <c r="F13" s="152"/>
      <c r="G13" s="152"/>
      <c r="H13" s="152"/>
      <c r="I13" s="152"/>
      <c r="J13" s="192">
        <v>4</v>
      </c>
      <c r="K13" s="153"/>
      <c r="L13" s="70"/>
      <c r="M13" s="70"/>
      <c r="N13" s="70"/>
      <c r="O13" s="71"/>
    </row>
    <row r="14" spans="1:26" ht="13.5" customHeight="1">
      <c r="A14" s="39"/>
      <c r="D14" s="203" t="s">
        <v>41</v>
      </c>
      <c r="E14" s="152"/>
      <c r="F14" s="152"/>
      <c r="G14" s="152"/>
      <c r="H14" s="152"/>
      <c r="I14" s="181"/>
      <c r="J14" s="189">
        <v>3</v>
      </c>
      <c r="K14" s="153"/>
      <c r="L14" s="70"/>
      <c r="M14" s="70"/>
      <c r="N14" s="70"/>
      <c r="O14" s="71"/>
    </row>
    <row r="15" spans="1:26" ht="13.5" customHeight="1">
      <c r="A15" s="39"/>
      <c r="D15" s="204" t="s">
        <v>42</v>
      </c>
      <c r="E15" s="152"/>
      <c r="F15" s="152"/>
      <c r="G15" s="152"/>
      <c r="H15" s="152"/>
      <c r="I15" s="152"/>
      <c r="J15" s="192">
        <v>0</v>
      </c>
      <c r="K15" s="153"/>
      <c r="L15" s="70"/>
      <c r="M15" s="70"/>
      <c r="N15" s="70"/>
      <c r="O15" s="71"/>
    </row>
    <row r="16" spans="1:26" ht="13.5" customHeight="1">
      <c r="A16" s="39"/>
      <c r="D16" s="203" t="s">
        <v>43</v>
      </c>
      <c r="E16" s="152"/>
      <c r="F16" s="152"/>
      <c r="G16" s="152"/>
      <c r="H16" s="152"/>
      <c r="I16" s="181"/>
      <c r="J16" s="189">
        <v>0</v>
      </c>
      <c r="K16" s="153"/>
      <c r="L16" s="70"/>
      <c r="M16" s="70"/>
      <c r="N16" s="70"/>
      <c r="O16" s="71"/>
    </row>
    <row r="17" spans="1:15" ht="7.5" customHeight="1">
      <c r="A17" s="39"/>
      <c r="D17" s="72"/>
      <c r="E17" s="72"/>
      <c r="F17" s="72"/>
      <c r="G17" s="72"/>
      <c r="H17" s="72"/>
      <c r="I17" s="72"/>
      <c r="J17" s="73"/>
      <c r="K17" s="73"/>
      <c r="L17" s="70"/>
      <c r="M17" s="70"/>
      <c r="N17" s="70"/>
      <c r="O17" s="71"/>
    </row>
    <row r="18" spans="1:15" ht="13.5" customHeight="1">
      <c r="A18" s="39"/>
      <c r="C18" s="219" t="s">
        <v>44</v>
      </c>
      <c r="D18" s="156"/>
      <c r="E18" s="156"/>
      <c r="F18" s="156"/>
      <c r="G18" s="156"/>
      <c r="H18" s="70"/>
      <c r="I18" s="70"/>
      <c r="J18" s="70"/>
      <c r="K18" s="70"/>
      <c r="L18" s="70"/>
      <c r="M18" s="70"/>
      <c r="N18" s="70"/>
      <c r="O18" s="71"/>
    </row>
    <row r="19" spans="1:15" ht="13.5" customHeight="1">
      <c r="A19" s="39"/>
      <c r="D19" s="220" t="s">
        <v>45</v>
      </c>
      <c r="E19" s="152"/>
      <c r="F19" s="152"/>
      <c r="G19" s="152"/>
      <c r="H19" s="152"/>
      <c r="I19" s="181"/>
      <c r="J19" s="189">
        <v>2</v>
      </c>
      <c r="K19" s="153"/>
      <c r="L19" s="70"/>
      <c r="M19" s="70"/>
      <c r="N19" s="70"/>
      <c r="O19" s="71"/>
    </row>
    <row r="20" spans="1:15" ht="13.5" customHeight="1">
      <c r="A20" s="39"/>
      <c r="D20" s="221" t="s">
        <v>46</v>
      </c>
      <c r="E20" s="152"/>
      <c r="F20" s="152"/>
      <c r="G20" s="152"/>
      <c r="H20" s="152"/>
      <c r="I20" s="152"/>
      <c r="J20" s="192">
        <v>0</v>
      </c>
      <c r="K20" s="153"/>
      <c r="L20" s="70"/>
      <c r="M20" s="70"/>
      <c r="N20" s="70"/>
      <c r="O20" s="71"/>
    </row>
    <row r="21" spans="1:15" ht="13.5" customHeight="1">
      <c r="A21" s="39"/>
      <c r="D21" s="220" t="s">
        <v>47</v>
      </c>
      <c r="E21" s="152"/>
      <c r="F21" s="152"/>
      <c r="G21" s="152"/>
      <c r="H21" s="152"/>
      <c r="I21" s="181"/>
      <c r="J21" s="189">
        <v>0</v>
      </c>
      <c r="K21" s="153"/>
      <c r="L21" s="70"/>
      <c r="M21" s="70"/>
      <c r="N21" s="70"/>
      <c r="O21" s="71"/>
    </row>
    <row r="22" spans="1:15" ht="13.5" customHeight="1">
      <c r="A22" s="39"/>
      <c r="D22" s="221" t="s">
        <v>48</v>
      </c>
      <c r="E22" s="152"/>
      <c r="F22" s="152"/>
      <c r="G22" s="152"/>
      <c r="H22" s="152"/>
      <c r="I22" s="152"/>
      <c r="J22" s="192">
        <v>0</v>
      </c>
      <c r="K22" s="153"/>
      <c r="L22" s="70"/>
      <c r="M22" s="70"/>
      <c r="N22" s="70"/>
      <c r="O22" s="71"/>
    </row>
    <row r="23" spans="1:15" ht="13.5" customHeight="1">
      <c r="A23" s="39"/>
      <c r="D23" s="220" t="s">
        <v>49</v>
      </c>
      <c r="E23" s="152"/>
      <c r="F23" s="152"/>
      <c r="G23" s="152"/>
      <c r="H23" s="152"/>
      <c r="I23" s="181"/>
      <c r="J23" s="189">
        <v>0</v>
      </c>
      <c r="K23" s="153"/>
      <c r="L23" s="70"/>
      <c r="M23" s="70"/>
      <c r="N23" s="70"/>
      <c r="O23" s="71"/>
    </row>
    <row r="24" spans="1:15" ht="13.5" customHeight="1">
      <c r="A24" s="39"/>
      <c r="D24" s="221" t="s">
        <v>50</v>
      </c>
      <c r="E24" s="152"/>
      <c r="F24" s="152"/>
      <c r="G24" s="152"/>
      <c r="H24" s="152"/>
      <c r="I24" s="152"/>
      <c r="J24" s="192">
        <v>1</v>
      </c>
      <c r="K24" s="153"/>
      <c r="L24" s="70"/>
      <c r="M24" s="70"/>
      <c r="N24" s="70"/>
      <c r="O24" s="71"/>
    </row>
    <row r="25" spans="1:15" ht="13.5" customHeight="1">
      <c r="A25" s="39"/>
      <c r="D25" s="220" t="s">
        <v>51</v>
      </c>
      <c r="E25" s="152"/>
      <c r="F25" s="152"/>
      <c r="G25" s="152"/>
      <c r="H25" s="152"/>
      <c r="I25" s="181"/>
      <c r="J25" s="189">
        <v>0</v>
      </c>
      <c r="K25" s="153"/>
      <c r="L25" s="70"/>
      <c r="M25" s="70"/>
      <c r="N25" s="70"/>
      <c r="O25" s="71"/>
    </row>
    <row r="26" spans="1:15" ht="13.5" customHeight="1">
      <c r="A26" s="39"/>
      <c r="D26" s="222" t="s">
        <v>25</v>
      </c>
      <c r="E26" s="152"/>
      <c r="F26" s="152"/>
      <c r="G26" s="152"/>
      <c r="H26" s="152"/>
      <c r="I26" s="153"/>
      <c r="J26" s="194">
        <f>SUM(J19:K25)</f>
        <v>3</v>
      </c>
      <c r="K26" s="153"/>
      <c r="L26" s="70"/>
      <c r="M26" s="70"/>
      <c r="N26" s="70"/>
      <c r="O26" s="71"/>
    </row>
    <row r="27" spans="1:15" ht="7.5" customHeight="1">
      <c r="A27" s="39"/>
      <c r="E27" s="70"/>
      <c r="F27" s="70"/>
      <c r="G27" s="70"/>
      <c r="H27" s="70"/>
      <c r="I27" s="70"/>
      <c r="J27" s="70"/>
      <c r="K27" s="70"/>
      <c r="L27" s="70"/>
      <c r="M27" s="70"/>
      <c r="N27" s="70"/>
      <c r="O27" s="71"/>
    </row>
    <row r="28" spans="1:15" ht="13.5" customHeight="1">
      <c r="A28" s="39"/>
      <c r="C28" s="224" t="s">
        <v>52</v>
      </c>
      <c r="D28" s="156"/>
      <c r="E28" s="156"/>
      <c r="F28" s="156"/>
      <c r="G28" s="156"/>
      <c r="H28" s="70"/>
      <c r="I28" s="70"/>
      <c r="J28" s="70"/>
      <c r="K28" s="70"/>
      <c r="L28" s="70"/>
      <c r="M28" s="70"/>
      <c r="N28" s="70"/>
      <c r="O28" s="71"/>
    </row>
    <row r="29" spans="1:15" ht="13.5" customHeight="1">
      <c r="A29" s="39"/>
      <c r="C29" s="23"/>
      <c r="D29" s="220" t="s">
        <v>53</v>
      </c>
      <c r="E29" s="152"/>
      <c r="F29" s="152"/>
      <c r="G29" s="152"/>
      <c r="H29" s="152"/>
      <c r="I29" s="153"/>
      <c r="J29" s="189">
        <v>0</v>
      </c>
      <c r="K29" s="153"/>
      <c r="L29" s="70"/>
      <c r="M29" s="70"/>
      <c r="N29" s="70"/>
      <c r="O29" s="71"/>
    </row>
    <row r="30" spans="1:15" ht="7.5" customHeight="1">
      <c r="A30" s="39"/>
      <c r="E30" s="70"/>
      <c r="F30" s="70"/>
      <c r="G30" s="70"/>
      <c r="H30" s="70"/>
      <c r="I30" s="70"/>
      <c r="J30" s="70"/>
      <c r="K30" s="70"/>
      <c r="L30" s="70"/>
      <c r="M30" s="70"/>
      <c r="N30" s="70"/>
      <c r="O30" s="71"/>
    </row>
    <row r="31" spans="1:15" ht="18" customHeight="1">
      <c r="A31" s="39"/>
      <c r="C31" s="188" t="s">
        <v>54</v>
      </c>
      <c r="D31" s="156"/>
      <c r="E31" s="156"/>
      <c r="F31" s="156"/>
      <c r="G31" s="70"/>
      <c r="H31" s="70"/>
      <c r="I31" s="70"/>
      <c r="J31" s="70"/>
      <c r="K31" s="70"/>
      <c r="L31" s="70"/>
      <c r="M31" s="70"/>
      <c r="N31" s="70"/>
      <c r="O31" s="71"/>
    </row>
    <row r="32" spans="1:15" ht="13.5" customHeight="1">
      <c r="A32" s="39"/>
      <c r="D32" s="203" t="s">
        <v>23</v>
      </c>
      <c r="E32" s="152"/>
      <c r="F32" s="152"/>
      <c r="G32" s="152"/>
      <c r="H32" s="152"/>
      <c r="I32" s="153"/>
      <c r="J32" s="225">
        <v>33</v>
      </c>
      <c r="K32" s="153"/>
      <c r="L32" s="70"/>
      <c r="M32" s="70"/>
      <c r="N32" s="70"/>
      <c r="O32" s="71"/>
    </row>
    <row r="33" spans="1:15" ht="13.5" customHeight="1">
      <c r="A33" s="39"/>
      <c r="D33" s="204" t="s">
        <v>24</v>
      </c>
      <c r="E33" s="152"/>
      <c r="F33" s="152"/>
      <c r="G33" s="152"/>
      <c r="H33" s="152"/>
      <c r="I33" s="153"/>
      <c r="J33" s="195">
        <v>11</v>
      </c>
      <c r="K33" s="153"/>
      <c r="L33" s="70"/>
      <c r="M33" s="70"/>
      <c r="N33" s="70"/>
      <c r="O33" s="71"/>
    </row>
    <row r="34" spans="1:15" ht="13.5" customHeight="1">
      <c r="A34" s="39"/>
      <c r="D34" s="205" t="s">
        <v>25</v>
      </c>
      <c r="E34" s="152"/>
      <c r="F34" s="152"/>
      <c r="G34" s="152"/>
      <c r="H34" s="152"/>
      <c r="I34" s="153"/>
      <c r="J34" s="223">
        <f>SUM(J32:K33)</f>
        <v>44</v>
      </c>
      <c r="K34" s="153"/>
      <c r="L34" s="70"/>
      <c r="M34" s="70"/>
      <c r="N34" s="70"/>
      <c r="O34" s="71"/>
    </row>
    <row r="35" spans="1:15" ht="7.5" customHeight="1">
      <c r="A35" s="39"/>
      <c r="E35" s="70"/>
      <c r="F35" s="70"/>
      <c r="G35" s="70"/>
      <c r="H35" s="70"/>
      <c r="I35" s="70"/>
      <c r="J35" s="70"/>
      <c r="K35" s="70"/>
      <c r="L35" s="70"/>
      <c r="M35" s="70"/>
      <c r="N35" s="70"/>
      <c r="O35" s="71"/>
    </row>
    <row r="36" spans="1:15" ht="15.75" customHeight="1">
      <c r="A36" s="39"/>
      <c r="C36" s="188" t="s">
        <v>26</v>
      </c>
      <c r="D36" s="156"/>
      <c r="E36" s="156"/>
      <c r="F36" s="156"/>
      <c r="G36" s="156"/>
      <c r="H36" s="70"/>
      <c r="I36" s="70"/>
      <c r="J36" s="70"/>
      <c r="K36" s="70"/>
      <c r="L36" s="70"/>
      <c r="M36" s="70"/>
      <c r="N36" s="70"/>
      <c r="O36" s="71"/>
    </row>
    <row r="37" spans="1:15" ht="13.5" customHeight="1">
      <c r="A37" s="39"/>
      <c r="D37" s="203" t="s">
        <v>27</v>
      </c>
      <c r="E37" s="152"/>
      <c r="F37" s="152"/>
      <c r="G37" s="152"/>
      <c r="H37" s="152"/>
      <c r="I37" s="181"/>
      <c r="J37" s="189">
        <v>5</v>
      </c>
      <c r="K37" s="153"/>
      <c r="L37" s="70"/>
      <c r="M37" s="70"/>
      <c r="N37" s="70"/>
      <c r="O37" s="71"/>
    </row>
    <row r="38" spans="1:15" ht="13.5" customHeight="1">
      <c r="A38" s="69"/>
      <c r="D38" s="204" t="s">
        <v>28</v>
      </c>
      <c r="E38" s="152"/>
      <c r="F38" s="152"/>
      <c r="G38" s="152"/>
      <c r="H38" s="152"/>
      <c r="I38" s="152"/>
      <c r="J38" s="192">
        <v>24</v>
      </c>
      <c r="K38" s="153"/>
      <c r="L38" s="70"/>
      <c r="M38" s="70"/>
      <c r="N38" s="70"/>
      <c r="O38" s="71"/>
    </row>
    <row r="39" spans="1:15" ht="13.5" customHeight="1">
      <c r="A39" s="39"/>
      <c r="B39" s="23"/>
      <c r="D39" s="203" t="s">
        <v>29</v>
      </c>
      <c r="E39" s="152"/>
      <c r="F39" s="152"/>
      <c r="G39" s="152"/>
      <c r="H39" s="152"/>
      <c r="I39" s="181"/>
      <c r="J39" s="189">
        <v>2</v>
      </c>
      <c r="K39" s="153"/>
      <c r="L39" s="70"/>
      <c r="M39" s="70"/>
      <c r="N39" s="70"/>
      <c r="O39" s="71"/>
    </row>
    <row r="40" spans="1:15" ht="13.5" customHeight="1">
      <c r="A40" s="39"/>
      <c r="B40" s="23"/>
      <c r="D40" s="204" t="s">
        <v>30</v>
      </c>
      <c r="E40" s="152"/>
      <c r="F40" s="152"/>
      <c r="G40" s="152"/>
      <c r="H40" s="152"/>
      <c r="I40" s="152"/>
      <c r="J40" s="192">
        <v>0</v>
      </c>
      <c r="K40" s="153"/>
      <c r="L40" s="70"/>
      <c r="M40" s="70"/>
      <c r="N40" s="70"/>
      <c r="O40" s="71"/>
    </row>
    <row r="41" spans="1:15" ht="13.5" customHeight="1">
      <c r="A41" s="39"/>
      <c r="B41" s="23"/>
      <c r="D41" s="203" t="s">
        <v>31</v>
      </c>
      <c r="E41" s="152"/>
      <c r="F41" s="152"/>
      <c r="G41" s="152"/>
      <c r="H41" s="152"/>
      <c r="I41" s="181"/>
      <c r="J41" s="189">
        <v>0</v>
      </c>
      <c r="K41" s="153"/>
      <c r="L41" s="70"/>
      <c r="M41" s="70"/>
      <c r="N41" s="70"/>
      <c r="O41" s="71"/>
    </row>
    <row r="42" spans="1:15" ht="13.5" customHeight="1">
      <c r="A42" s="39"/>
      <c r="B42" s="23"/>
      <c r="D42" s="204" t="s">
        <v>32</v>
      </c>
      <c r="E42" s="152"/>
      <c r="F42" s="152"/>
      <c r="G42" s="152"/>
      <c r="H42" s="152"/>
      <c r="I42" s="152"/>
      <c r="J42" s="192">
        <v>10</v>
      </c>
      <c r="K42" s="153"/>
      <c r="L42" s="70"/>
      <c r="M42" s="70"/>
      <c r="N42" s="70"/>
      <c r="O42" s="71"/>
    </row>
    <row r="43" spans="1:15" ht="13.5" customHeight="1">
      <c r="A43" s="39"/>
      <c r="B43" s="23"/>
      <c r="D43" s="203" t="s">
        <v>33</v>
      </c>
      <c r="E43" s="152"/>
      <c r="F43" s="152"/>
      <c r="G43" s="152"/>
      <c r="H43" s="152"/>
      <c r="I43" s="181"/>
      <c r="J43" s="189">
        <v>3</v>
      </c>
      <c r="K43" s="153"/>
      <c r="L43" s="70"/>
      <c r="M43" s="70"/>
      <c r="N43" s="70"/>
      <c r="O43" s="71"/>
    </row>
    <row r="44" spans="1:15" ht="13.5" customHeight="1">
      <c r="A44" s="39"/>
      <c r="D44" s="205" t="s">
        <v>25</v>
      </c>
      <c r="E44" s="152"/>
      <c r="F44" s="152"/>
      <c r="G44" s="152"/>
      <c r="H44" s="152"/>
      <c r="I44" s="181"/>
      <c r="J44" s="194">
        <f>SUM(J37:K43)</f>
        <v>44</v>
      </c>
      <c r="K44" s="153"/>
      <c r="L44" s="70"/>
      <c r="M44" s="70"/>
      <c r="N44" s="70"/>
      <c r="O44" s="71"/>
    </row>
    <row r="45" spans="1:15" ht="6.75" customHeight="1">
      <c r="A45" s="53"/>
      <c r="B45" s="55"/>
      <c r="C45" s="55"/>
      <c r="D45" s="55"/>
      <c r="E45" s="74"/>
      <c r="F45" s="74"/>
      <c r="G45" s="74"/>
      <c r="H45" s="74"/>
      <c r="I45" s="74"/>
      <c r="J45" s="74"/>
      <c r="K45" s="74"/>
      <c r="L45" s="74"/>
      <c r="M45" s="74"/>
      <c r="N45" s="74"/>
      <c r="O45" s="75"/>
    </row>
    <row r="46" spans="1:15" ht="7.5" customHeight="1">
      <c r="C46" s="23"/>
      <c r="D46" s="23"/>
      <c r="E46" s="70"/>
      <c r="F46" s="70"/>
      <c r="G46" s="70"/>
      <c r="H46" s="70"/>
      <c r="I46" s="70"/>
      <c r="J46" s="70"/>
      <c r="K46" s="70"/>
      <c r="L46" s="70"/>
      <c r="M46" s="70"/>
      <c r="N46" s="70"/>
      <c r="O46" s="70"/>
    </row>
    <row r="47" spans="1:15" ht="13.5" customHeight="1">
      <c r="A47" s="58" t="s">
        <v>34</v>
      </c>
    </row>
    <row r="48" spans="1:15" ht="13.5" customHeight="1">
      <c r="A48" s="206" t="s">
        <v>962</v>
      </c>
      <c r="B48" s="197"/>
      <c r="C48" s="197"/>
      <c r="D48" s="197"/>
      <c r="E48" s="197"/>
      <c r="F48" s="197"/>
      <c r="G48" s="197"/>
      <c r="H48" s="197"/>
      <c r="I48" s="197"/>
      <c r="J48" s="197"/>
      <c r="K48" s="197"/>
      <c r="L48" s="197"/>
      <c r="M48" s="197"/>
      <c r="N48" s="197"/>
      <c r="O48" s="198"/>
    </row>
    <row r="49" spans="1:26" ht="13.5" customHeight="1">
      <c r="A49" s="158"/>
      <c r="B49" s="156"/>
      <c r="C49" s="156"/>
      <c r="D49" s="156"/>
      <c r="E49" s="156"/>
      <c r="F49" s="156"/>
      <c r="G49" s="156"/>
      <c r="H49" s="156"/>
      <c r="I49" s="156"/>
      <c r="J49" s="156"/>
      <c r="K49" s="156"/>
      <c r="L49" s="156"/>
      <c r="M49" s="156"/>
      <c r="N49" s="156"/>
      <c r="O49" s="157"/>
    </row>
    <row r="50" spans="1:26" ht="13.5" customHeight="1">
      <c r="A50" s="158"/>
      <c r="B50" s="156"/>
      <c r="C50" s="156"/>
      <c r="D50" s="156"/>
      <c r="E50" s="156"/>
      <c r="F50" s="156"/>
      <c r="G50" s="156"/>
      <c r="H50" s="156"/>
      <c r="I50" s="156"/>
      <c r="J50" s="156"/>
      <c r="K50" s="156"/>
      <c r="L50" s="156"/>
      <c r="M50" s="156"/>
      <c r="N50" s="156"/>
      <c r="O50" s="157"/>
    </row>
    <row r="51" spans="1:26" ht="13.5" customHeight="1">
      <c r="A51" s="158"/>
      <c r="B51" s="156"/>
      <c r="C51" s="156"/>
      <c r="D51" s="156"/>
      <c r="E51" s="156"/>
      <c r="F51" s="156"/>
      <c r="G51" s="156"/>
      <c r="H51" s="156"/>
      <c r="I51" s="156"/>
      <c r="J51" s="156"/>
      <c r="K51" s="156"/>
      <c r="L51" s="156"/>
      <c r="M51" s="156"/>
      <c r="N51" s="156"/>
      <c r="O51" s="157"/>
    </row>
    <row r="52" spans="1:26" ht="7.5" customHeight="1">
      <c r="A52" s="158"/>
      <c r="B52" s="156"/>
      <c r="C52" s="156"/>
      <c r="D52" s="156"/>
      <c r="E52" s="156"/>
      <c r="F52" s="156"/>
      <c r="G52" s="156"/>
      <c r="H52" s="156"/>
      <c r="I52" s="156"/>
      <c r="J52" s="156"/>
      <c r="K52" s="156"/>
      <c r="L52" s="156"/>
      <c r="M52" s="156"/>
      <c r="N52" s="156"/>
      <c r="O52" s="157"/>
    </row>
    <row r="53" spans="1:26" ht="7.5" customHeight="1">
      <c r="A53" s="158"/>
      <c r="B53" s="156"/>
      <c r="C53" s="156"/>
      <c r="D53" s="156"/>
      <c r="E53" s="156"/>
      <c r="F53" s="156"/>
      <c r="G53" s="156"/>
      <c r="H53" s="156"/>
      <c r="I53" s="156"/>
      <c r="J53" s="156"/>
      <c r="K53" s="156"/>
      <c r="L53" s="156"/>
      <c r="M53" s="156"/>
      <c r="N53" s="156"/>
      <c r="O53" s="157"/>
    </row>
    <row r="54" spans="1:26" ht="7.5" customHeight="1">
      <c r="A54" s="199"/>
      <c r="B54" s="167"/>
      <c r="C54" s="167"/>
      <c r="D54" s="167"/>
      <c r="E54" s="167"/>
      <c r="F54" s="167"/>
      <c r="G54" s="167"/>
      <c r="H54" s="167"/>
      <c r="I54" s="167"/>
      <c r="J54" s="167"/>
      <c r="K54" s="167"/>
      <c r="L54" s="167"/>
      <c r="M54" s="167"/>
      <c r="N54" s="167"/>
      <c r="O54" s="168"/>
    </row>
    <row r="55" spans="1:26" ht="7.5" customHeight="1">
      <c r="A55" s="76"/>
      <c r="B55" s="76"/>
      <c r="C55" s="76"/>
      <c r="D55" s="76"/>
      <c r="E55" s="76"/>
      <c r="F55" s="76"/>
      <c r="G55" s="76"/>
      <c r="H55" s="76"/>
      <c r="I55" s="76"/>
      <c r="J55" s="76"/>
      <c r="K55" s="76"/>
      <c r="L55" s="76"/>
      <c r="M55" s="76"/>
      <c r="N55" s="76"/>
      <c r="O55" s="76"/>
    </row>
    <row r="56" spans="1:26" ht="18" customHeight="1">
      <c r="A56" s="77" t="s">
        <v>55</v>
      </c>
      <c r="B56" s="78"/>
      <c r="C56" s="78"/>
      <c r="D56" s="78"/>
      <c r="E56" s="78"/>
      <c r="F56" s="79"/>
      <c r="G56" s="78"/>
      <c r="H56" s="78"/>
      <c r="I56" s="78"/>
      <c r="J56" s="78"/>
      <c r="K56" s="80"/>
      <c r="L56" s="58"/>
      <c r="M56" s="58"/>
      <c r="N56" s="81"/>
      <c r="O56" s="81"/>
      <c r="P56" s="58"/>
      <c r="Q56" s="58"/>
      <c r="R56" s="58"/>
      <c r="S56" s="58"/>
      <c r="T56" s="58"/>
      <c r="U56" s="58"/>
      <c r="V56" s="58"/>
      <c r="W56" s="58"/>
      <c r="X56" s="58"/>
      <c r="Y56" s="58"/>
      <c r="Z56" s="5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D33:I33"/>
    <mergeCell ref="J33:K33"/>
    <mergeCell ref="D34:I34"/>
    <mergeCell ref="J34:K34"/>
    <mergeCell ref="C28:G28"/>
    <mergeCell ref="D29:I29"/>
    <mergeCell ref="J29:K29"/>
    <mergeCell ref="C31:F31"/>
    <mergeCell ref="D32:I32"/>
    <mergeCell ref="J32:K32"/>
    <mergeCell ref="D24:I24"/>
    <mergeCell ref="J24:K24"/>
    <mergeCell ref="D25:I25"/>
    <mergeCell ref="J25:K25"/>
    <mergeCell ref="D26:I26"/>
    <mergeCell ref="J26:K26"/>
    <mergeCell ref="J21:K21"/>
    <mergeCell ref="D21:I21"/>
    <mergeCell ref="D22:I22"/>
    <mergeCell ref="J22:K22"/>
    <mergeCell ref="D23:I23"/>
    <mergeCell ref="J23:K23"/>
    <mergeCell ref="C18:G18"/>
    <mergeCell ref="D19:I19"/>
    <mergeCell ref="J19:K19"/>
    <mergeCell ref="D20:I20"/>
    <mergeCell ref="J20:K20"/>
    <mergeCell ref="D14:I14"/>
    <mergeCell ref="J14:K14"/>
    <mergeCell ref="D15:I15"/>
    <mergeCell ref="J15:K15"/>
    <mergeCell ref="J16:K16"/>
    <mergeCell ref="D16:I16"/>
    <mergeCell ref="C11:G11"/>
    <mergeCell ref="D12:I12"/>
    <mergeCell ref="J12:K12"/>
    <mergeCell ref="D13:I13"/>
    <mergeCell ref="J13:K13"/>
    <mergeCell ref="D7:I7"/>
    <mergeCell ref="J7:K7"/>
    <mergeCell ref="D8:I8"/>
    <mergeCell ref="J8:K8"/>
    <mergeCell ref="D9:I9"/>
    <mergeCell ref="J9:K9"/>
    <mergeCell ref="A1:J1"/>
    <mergeCell ref="K1:O1"/>
    <mergeCell ref="A3:O3"/>
    <mergeCell ref="A4:O4"/>
    <mergeCell ref="C6:L6"/>
    <mergeCell ref="A48:O54"/>
    <mergeCell ref="D40:I40"/>
    <mergeCell ref="J40:K40"/>
    <mergeCell ref="D41:I41"/>
    <mergeCell ref="J41:K41"/>
    <mergeCell ref="D42:I42"/>
    <mergeCell ref="J42:K42"/>
    <mergeCell ref="J43:K43"/>
    <mergeCell ref="D39:I39"/>
    <mergeCell ref="J39:K39"/>
    <mergeCell ref="D43:I43"/>
    <mergeCell ref="D44:I44"/>
    <mergeCell ref="J44:K44"/>
    <mergeCell ref="C36:G36"/>
    <mergeCell ref="D37:I37"/>
    <mergeCell ref="J37:K37"/>
    <mergeCell ref="D38:I38"/>
    <mergeCell ref="J38:K38"/>
  </mergeCells>
  <printOptions horizontalCentered="1"/>
  <pageMargins left="0.2" right="0.2" top="0.25" bottom="0.25" header="0" footer="0"/>
  <pageSetup orientation="portrait"/>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A33" sqref="A33:I50"/>
    </sheetView>
  </sheetViews>
  <sheetFormatPr defaultColWidth="12.54296875" defaultRowHeight="15" customHeight="1"/>
  <cols>
    <col min="1" max="1" width="10.1796875" customWidth="1"/>
    <col min="2" max="8" width="8.81640625" customWidth="1"/>
    <col min="9" max="9" width="11" customWidth="1"/>
    <col min="10" max="26" width="8.81640625" customWidth="1"/>
  </cols>
  <sheetData>
    <row r="1" spans="1:26" ht="12.75" customHeight="1">
      <c r="A1" s="226" t="s">
        <v>16</v>
      </c>
      <c r="B1" s="152"/>
      <c r="C1" s="152"/>
      <c r="D1" s="152"/>
      <c r="E1" s="152"/>
      <c r="F1" s="181"/>
      <c r="G1" s="182" t="str">
        <f>'CONTACT INFORMATION'!$A$24</f>
        <v>Humboldt</v>
      </c>
      <c r="H1" s="152"/>
      <c r="I1" s="153"/>
    </row>
    <row r="2" spans="1:26" ht="13.5" customHeight="1">
      <c r="A2" s="82"/>
      <c r="B2" s="82"/>
      <c r="C2" s="82"/>
      <c r="D2" s="82"/>
      <c r="E2" s="82"/>
      <c r="F2" s="82"/>
      <c r="G2" s="83"/>
      <c r="H2" s="83"/>
      <c r="I2" s="83"/>
    </row>
    <row r="3" spans="1:26" ht="12.75" customHeight="1">
      <c r="A3" s="227" t="s">
        <v>953</v>
      </c>
      <c r="B3" s="163"/>
      <c r="C3" s="163"/>
      <c r="D3" s="163"/>
      <c r="E3" s="163"/>
      <c r="F3" s="163"/>
      <c r="G3" s="163"/>
      <c r="H3" s="163"/>
      <c r="I3" s="164"/>
      <c r="J3" s="84"/>
      <c r="K3" s="84"/>
      <c r="L3" s="84"/>
      <c r="M3" s="84"/>
      <c r="N3" s="84"/>
      <c r="O3" s="84"/>
      <c r="P3" s="84"/>
      <c r="Q3" s="84"/>
      <c r="R3" s="84"/>
      <c r="S3" s="84"/>
      <c r="T3" s="84"/>
      <c r="U3" s="84"/>
      <c r="V3" s="84"/>
      <c r="W3" s="84"/>
      <c r="X3" s="84"/>
      <c r="Y3" s="84"/>
      <c r="Z3" s="84"/>
    </row>
    <row r="4" spans="1:26" ht="12.75" customHeight="1">
      <c r="A4" s="228" t="s">
        <v>56</v>
      </c>
      <c r="B4" s="171"/>
      <c r="C4" s="171"/>
      <c r="D4" s="171"/>
      <c r="E4" s="171"/>
      <c r="F4" s="171"/>
      <c r="G4" s="171"/>
      <c r="H4" s="171"/>
      <c r="I4" s="172"/>
      <c r="J4" s="84"/>
      <c r="K4" s="84"/>
      <c r="L4" s="84"/>
      <c r="M4" s="84"/>
      <c r="N4" s="84"/>
      <c r="O4" s="84"/>
      <c r="P4" s="84"/>
      <c r="Q4" s="84"/>
      <c r="R4" s="84"/>
      <c r="S4" s="84"/>
      <c r="T4" s="84"/>
      <c r="U4" s="84"/>
      <c r="V4" s="84"/>
      <c r="W4" s="84"/>
      <c r="X4" s="84"/>
      <c r="Y4" s="84"/>
      <c r="Z4" s="84"/>
    </row>
    <row r="5" spans="1:26" ht="21" customHeight="1">
      <c r="A5" s="229" t="s">
        <v>57</v>
      </c>
      <c r="B5" s="230"/>
      <c r="C5" s="230"/>
      <c r="D5" s="230"/>
      <c r="E5" s="230"/>
      <c r="F5" s="230"/>
      <c r="G5" s="230"/>
      <c r="H5" s="230"/>
      <c r="I5" s="231"/>
      <c r="J5" s="85"/>
      <c r="K5" s="85"/>
      <c r="L5" s="85"/>
      <c r="M5" s="85"/>
      <c r="N5" s="85"/>
      <c r="O5" s="85"/>
      <c r="P5" s="85"/>
      <c r="Q5" s="85"/>
      <c r="R5" s="85"/>
      <c r="S5" s="85"/>
      <c r="T5" s="85"/>
      <c r="U5" s="85"/>
      <c r="V5" s="85"/>
      <c r="W5" s="85"/>
      <c r="X5" s="85"/>
      <c r="Y5" s="85"/>
      <c r="Z5" s="85"/>
    </row>
    <row r="6" spans="1:26" ht="12.75" customHeight="1">
      <c r="A6" s="39"/>
      <c r="B6" s="23"/>
      <c r="C6" s="44"/>
      <c r="D6" s="44"/>
      <c r="E6" s="44"/>
      <c r="F6" s="44"/>
      <c r="G6" s="45"/>
      <c r="H6" s="45"/>
      <c r="I6" s="86"/>
    </row>
    <row r="7" spans="1:26" ht="12.75" customHeight="1">
      <c r="A7" s="39"/>
      <c r="B7" s="23"/>
      <c r="C7" s="44"/>
      <c r="D7" s="44"/>
      <c r="E7" s="44"/>
      <c r="F7" s="44"/>
      <c r="G7" s="45"/>
      <c r="H7" s="45"/>
      <c r="I7" s="86"/>
    </row>
    <row r="8" spans="1:26" ht="12.75" customHeight="1">
      <c r="A8" s="39"/>
      <c r="B8" s="211" t="s">
        <v>58</v>
      </c>
      <c r="C8" s="156"/>
      <c r="D8" s="87"/>
      <c r="E8" s="232"/>
      <c r="F8" s="156"/>
      <c r="G8" s="156"/>
      <c r="H8" s="45"/>
      <c r="I8" s="86"/>
    </row>
    <row r="9" spans="1:26" ht="12.75" customHeight="1">
      <c r="A9" s="39"/>
      <c r="B9" s="49"/>
      <c r="C9" s="233" t="s">
        <v>59</v>
      </c>
      <c r="D9" s="152"/>
      <c r="E9" s="152"/>
      <c r="F9" s="153"/>
      <c r="G9" s="189">
        <v>52</v>
      </c>
      <c r="H9" s="153"/>
      <c r="I9" s="86"/>
    </row>
    <row r="10" spans="1:26" ht="12.75" customHeight="1">
      <c r="A10" s="39"/>
      <c r="B10" s="49"/>
      <c r="C10" s="234" t="s">
        <v>60</v>
      </c>
      <c r="D10" s="152"/>
      <c r="E10" s="152"/>
      <c r="F10" s="153"/>
      <c r="G10" s="192">
        <v>55</v>
      </c>
      <c r="H10" s="153"/>
      <c r="I10" s="86"/>
    </row>
    <row r="11" spans="1:26" ht="12.75" customHeight="1">
      <c r="A11" s="39"/>
      <c r="B11" s="49"/>
      <c r="C11" s="233" t="s">
        <v>61</v>
      </c>
      <c r="D11" s="152"/>
      <c r="E11" s="152"/>
      <c r="F11" s="153"/>
      <c r="G11" s="189">
        <v>3</v>
      </c>
      <c r="H11" s="153"/>
      <c r="I11" s="86"/>
    </row>
    <row r="12" spans="1:26" ht="12.75" customHeight="1">
      <c r="A12" s="39"/>
      <c r="B12" s="23"/>
      <c r="C12" s="193" t="s">
        <v>25</v>
      </c>
      <c r="D12" s="152"/>
      <c r="E12" s="152"/>
      <c r="F12" s="153"/>
      <c r="G12" s="217">
        <f>SUM(G9:H11)</f>
        <v>110</v>
      </c>
      <c r="H12" s="153"/>
      <c r="I12" s="86"/>
    </row>
    <row r="13" spans="1:26" ht="12.75" customHeight="1">
      <c r="A13" s="39"/>
      <c r="B13" s="23"/>
      <c r="C13" s="44"/>
      <c r="D13" s="44"/>
      <c r="E13" s="44"/>
      <c r="F13" s="44"/>
      <c r="G13" s="45"/>
      <c r="H13" s="45"/>
      <c r="I13" s="86"/>
    </row>
    <row r="14" spans="1:26" ht="12.75" customHeight="1">
      <c r="A14" s="39"/>
      <c r="C14" s="41"/>
      <c r="D14" s="41"/>
      <c r="E14" s="41"/>
      <c r="F14" s="41"/>
      <c r="G14" s="42"/>
      <c r="H14" s="42"/>
      <c r="I14" s="43"/>
    </row>
    <row r="15" spans="1:26" ht="12.75" customHeight="1">
      <c r="A15" s="46"/>
      <c r="B15" s="224" t="s">
        <v>22</v>
      </c>
      <c r="C15" s="156"/>
      <c r="D15" s="156"/>
      <c r="E15" s="156"/>
      <c r="F15" s="156"/>
      <c r="G15" s="156"/>
      <c r="H15" s="156"/>
      <c r="I15" s="157"/>
    </row>
    <row r="16" spans="1:26" ht="12.75" customHeight="1">
      <c r="A16" s="39"/>
      <c r="C16" s="190" t="s">
        <v>23</v>
      </c>
      <c r="D16" s="152"/>
      <c r="E16" s="152"/>
      <c r="F16" s="153"/>
      <c r="G16" s="189"/>
      <c r="H16" s="153"/>
      <c r="I16" s="43"/>
    </row>
    <row r="17" spans="1:9" ht="12.75" customHeight="1">
      <c r="A17" s="39"/>
      <c r="C17" s="191" t="s">
        <v>24</v>
      </c>
      <c r="D17" s="152"/>
      <c r="E17" s="152"/>
      <c r="F17" s="153"/>
      <c r="G17" s="192"/>
      <c r="H17" s="153"/>
      <c r="I17" s="43"/>
    </row>
    <row r="18" spans="1:9" ht="12.75" customHeight="1">
      <c r="A18" s="39"/>
      <c r="C18" s="193" t="s">
        <v>25</v>
      </c>
      <c r="D18" s="152"/>
      <c r="E18" s="152"/>
      <c r="F18" s="153"/>
      <c r="G18" s="194">
        <f>SUM(G16:H17)</f>
        <v>0</v>
      </c>
      <c r="H18" s="153"/>
      <c r="I18" s="43"/>
    </row>
    <row r="19" spans="1:9" ht="12.75" customHeight="1">
      <c r="A19" s="39"/>
      <c r="C19" s="88"/>
      <c r="D19" s="88"/>
      <c r="E19" s="88"/>
      <c r="F19" s="88"/>
      <c r="G19" s="70"/>
      <c r="H19" s="70"/>
      <c r="I19" s="43"/>
    </row>
    <row r="20" spans="1:9" ht="12.75" customHeight="1">
      <c r="A20" s="39"/>
      <c r="C20" s="42"/>
      <c r="D20" s="42"/>
      <c r="E20" s="42"/>
      <c r="F20" s="42"/>
      <c r="G20" s="42"/>
      <c r="H20" s="42"/>
      <c r="I20" s="43"/>
    </row>
    <row r="21" spans="1:9" ht="12.75" customHeight="1">
      <c r="A21" s="46"/>
      <c r="B21" s="36" t="s">
        <v>26</v>
      </c>
      <c r="C21" s="36"/>
      <c r="D21" s="36"/>
      <c r="E21" s="36"/>
      <c r="F21" s="36"/>
      <c r="G21" s="49"/>
      <c r="H21" s="49"/>
      <c r="I21" s="89"/>
    </row>
    <row r="22" spans="1:9" ht="12.75" customHeight="1">
      <c r="A22" s="39"/>
      <c r="C22" s="190" t="s">
        <v>29</v>
      </c>
      <c r="D22" s="152"/>
      <c r="E22" s="152"/>
      <c r="F22" s="153"/>
      <c r="G22" s="189"/>
      <c r="H22" s="153"/>
      <c r="I22" s="43"/>
    </row>
    <row r="23" spans="1:9" ht="12.75" customHeight="1">
      <c r="A23" s="39"/>
      <c r="C23" s="191" t="s">
        <v>28</v>
      </c>
      <c r="D23" s="152"/>
      <c r="E23" s="152"/>
      <c r="F23" s="153"/>
      <c r="G23" s="192"/>
      <c r="H23" s="153"/>
      <c r="I23" s="43"/>
    </row>
    <row r="24" spans="1:9" ht="12.75" customHeight="1">
      <c r="A24" s="39"/>
      <c r="C24" s="190" t="s">
        <v>27</v>
      </c>
      <c r="D24" s="152"/>
      <c r="E24" s="152"/>
      <c r="F24" s="153"/>
      <c r="G24" s="189"/>
      <c r="H24" s="153"/>
      <c r="I24" s="43"/>
    </row>
    <row r="25" spans="1:9" ht="12.75" customHeight="1">
      <c r="A25" s="39"/>
      <c r="C25" s="191" t="s">
        <v>50</v>
      </c>
      <c r="D25" s="152"/>
      <c r="E25" s="152"/>
      <c r="F25" s="153"/>
      <c r="G25" s="192"/>
      <c r="H25" s="153"/>
      <c r="I25" s="43"/>
    </row>
    <row r="26" spans="1:9" ht="12.75" customHeight="1">
      <c r="A26" s="39"/>
      <c r="C26" s="193" t="s">
        <v>25</v>
      </c>
      <c r="D26" s="152"/>
      <c r="E26" s="152"/>
      <c r="F26" s="153"/>
      <c r="G26" s="194">
        <f>SUM(G22:H25)</f>
        <v>0</v>
      </c>
      <c r="H26" s="153"/>
      <c r="I26" s="51"/>
    </row>
    <row r="27" spans="1:9" ht="12.75" customHeight="1">
      <c r="A27" s="39"/>
      <c r="D27" s="50"/>
      <c r="E27" s="50"/>
      <c r="F27" s="50"/>
      <c r="G27" s="50"/>
      <c r="H27" s="50"/>
      <c r="I27" s="51"/>
    </row>
    <row r="28" spans="1:9" ht="12.75" customHeight="1">
      <c r="A28" s="39"/>
      <c r="D28" s="50"/>
      <c r="E28" s="50"/>
      <c r="F28" s="50"/>
      <c r="G28" s="50"/>
      <c r="H28" s="50"/>
      <c r="I28" s="51"/>
    </row>
    <row r="29" spans="1:9" ht="12.75" customHeight="1">
      <c r="A29" s="53"/>
      <c r="B29" s="55"/>
      <c r="C29" s="55"/>
      <c r="D29" s="56"/>
      <c r="E29" s="56"/>
      <c r="F29" s="56"/>
      <c r="G29" s="56"/>
      <c r="H29" s="56"/>
      <c r="I29" s="57"/>
    </row>
    <row r="30" spans="1:9" ht="12.75" customHeight="1">
      <c r="D30" s="50"/>
      <c r="E30" s="50"/>
      <c r="F30" s="50"/>
      <c r="G30" s="50"/>
      <c r="H30" s="50"/>
      <c r="I30" s="50"/>
    </row>
    <row r="31" spans="1:9" ht="14.25" customHeight="1">
      <c r="A31" s="235" t="s">
        <v>34</v>
      </c>
      <c r="B31" s="156"/>
      <c r="C31" s="156"/>
      <c r="D31" s="156"/>
      <c r="E31" s="156"/>
      <c r="F31" s="156"/>
      <c r="G31" s="156"/>
      <c r="H31" s="156"/>
      <c r="I31" s="156"/>
    </row>
    <row r="32" spans="1:9" ht="13.5" customHeight="1">
      <c r="A32" s="167"/>
      <c r="B32" s="167"/>
      <c r="C32" s="167"/>
      <c r="D32" s="167"/>
      <c r="E32" s="167"/>
      <c r="F32" s="167"/>
      <c r="G32" s="167"/>
      <c r="H32" s="167"/>
      <c r="I32" s="167"/>
    </row>
    <row r="33" spans="1:9" ht="12.75" customHeight="1">
      <c r="A33" s="196" t="s">
        <v>971</v>
      </c>
      <c r="B33" s="197"/>
      <c r="C33" s="197"/>
      <c r="D33" s="197"/>
      <c r="E33" s="197"/>
      <c r="F33" s="197"/>
      <c r="G33" s="197"/>
      <c r="H33" s="197"/>
      <c r="I33" s="198"/>
    </row>
    <row r="34" spans="1:9" ht="12.75" customHeight="1">
      <c r="A34" s="158"/>
      <c r="B34" s="156"/>
      <c r="C34" s="156"/>
      <c r="D34" s="156"/>
      <c r="E34" s="156"/>
      <c r="F34" s="156"/>
      <c r="G34" s="156"/>
      <c r="H34" s="156"/>
      <c r="I34" s="157"/>
    </row>
    <row r="35" spans="1:9" ht="12.75" customHeight="1">
      <c r="A35" s="158"/>
      <c r="B35" s="156"/>
      <c r="C35" s="156"/>
      <c r="D35" s="156"/>
      <c r="E35" s="156"/>
      <c r="F35" s="156"/>
      <c r="G35" s="156"/>
      <c r="H35" s="156"/>
      <c r="I35" s="157"/>
    </row>
    <row r="36" spans="1:9" ht="12.75" customHeight="1">
      <c r="A36" s="158"/>
      <c r="B36" s="156"/>
      <c r="C36" s="156"/>
      <c r="D36" s="156"/>
      <c r="E36" s="156"/>
      <c r="F36" s="156"/>
      <c r="G36" s="156"/>
      <c r="H36" s="156"/>
      <c r="I36" s="157"/>
    </row>
    <row r="37" spans="1:9" ht="12.75" customHeight="1">
      <c r="A37" s="158"/>
      <c r="B37" s="156"/>
      <c r="C37" s="156"/>
      <c r="D37" s="156"/>
      <c r="E37" s="156"/>
      <c r="F37" s="156"/>
      <c r="G37" s="156"/>
      <c r="H37" s="156"/>
      <c r="I37" s="157"/>
    </row>
    <row r="38" spans="1:9" ht="12.75" customHeight="1">
      <c r="A38" s="158"/>
      <c r="B38" s="156"/>
      <c r="C38" s="156"/>
      <c r="D38" s="156"/>
      <c r="E38" s="156"/>
      <c r="F38" s="156"/>
      <c r="G38" s="156"/>
      <c r="H38" s="156"/>
      <c r="I38" s="157"/>
    </row>
    <row r="39" spans="1:9" ht="12.75" customHeight="1">
      <c r="A39" s="158"/>
      <c r="B39" s="156"/>
      <c r="C39" s="156"/>
      <c r="D39" s="156"/>
      <c r="E39" s="156"/>
      <c r="F39" s="156"/>
      <c r="G39" s="156"/>
      <c r="H39" s="156"/>
      <c r="I39" s="157"/>
    </row>
    <row r="40" spans="1:9" ht="12.75" customHeight="1">
      <c r="A40" s="158"/>
      <c r="B40" s="156"/>
      <c r="C40" s="156"/>
      <c r="D40" s="156"/>
      <c r="E40" s="156"/>
      <c r="F40" s="156"/>
      <c r="G40" s="156"/>
      <c r="H40" s="156"/>
      <c r="I40" s="157"/>
    </row>
    <row r="41" spans="1:9" ht="12.75" customHeight="1">
      <c r="A41" s="158"/>
      <c r="B41" s="156"/>
      <c r="C41" s="156"/>
      <c r="D41" s="156"/>
      <c r="E41" s="156"/>
      <c r="F41" s="156"/>
      <c r="G41" s="156"/>
      <c r="H41" s="156"/>
      <c r="I41" s="157"/>
    </row>
    <row r="42" spans="1:9" ht="12.75" customHeight="1">
      <c r="A42" s="158"/>
      <c r="B42" s="156"/>
      <c r="C42" s="156"/>
      <c r="D42" s="156"/>
      <c r="E42" s="156"/>
      <c r="F42" s="156"/>
      <c r="G42" s="156"/>
      <c r="H42" s="156"/>
      <c r="I42" s="157"/>
    </row>
    <row r="43" spans="1:9" ht="12.75" customHeight="1">
      <c r="A43" s="158"/>
      <c r="B43" s="156"/>
      <c r="C43" s="156"/>
      <c r="D43" s="156"/>
      <c r="E43" s="156"/>
      <c r="F43" s="156"/>
      <c r="G43" s="156"/>
      <c r="H43" s="156"/>
      <c r="I43" s="157"/>
    </row>
    <row r="44" spans="1:9" ht="12.75" customHeight="1">
      <c r="A44" s="158"/>
      <c r="B44" s="156"/>
      <c r="C44" s="156"/>
      <c r="D44" s="156"/>
      <c r="E44" s="156"/>
      <c r="F44" s="156"/>
      <c r="G44" s="156"/>
      <c r="H44" s="156"/>
      <c r="I44" s="157"/>
    </row>
    <row r="45" spans="1:9" ht="12.75" customHeight="1">
      <c r="A45" s="158"/>
      <c r="B45" s="156"/>
      <c r="C45" s="156"/>
      <c r="D45" s="156"/>
      <c r="E45" s="156"/>
      <c r="F45" s="156"/>
      <c r="G45" s="156"/>
      <c r="H45" s="156"/>
      <c r="I45" s="157"/>
    </row>
    <row r="46" spans="1:9" ht="12.75" customHeight="1">
      <c r="A46" s="158"/>
      <c r="B46" s="156"/>
      <c r="C46" s="156"/>
      <c r="D46" s="156"/>
      <c r="E46" s="156"/>
      <c r="F46" s="156"/>
      <c r="G46" s="156"/>
      <c r="H46" s="156"/>
      <c r="I46" s="157"/>
    </row>
    <row r="47" spans="1:9" ht="12.75" customHeight="1">
      <c r="A47" s="158"/>
      <c r="B47" s="156"/>
      <c r="C47" s="156"/>
      <c r="D47" s="156"/>
      <c r="E47" s="156"/>
      <c r="F47" s="156"/>
      <c r="G47" s="156"/>
      <c r="H47" s="156"/>
      <c r="I47" s="157"/>
    </row>
    <row r="48" spans="1:9" ht="12.75" customHeight="1">
      <c r="A48" s="158"/>
      <c r="B48" s="156"/>
      <c r="C48" s="156"/>
      <c r="D48" s="156"/>
      <c r="E48" s="156"/>
      <c r="F48" s="156"/>
      <c r="G48" s="156"/>
      <c r="H48" s="156"/>
      <c r="I48" s="157"/>
    </row>
    <row r="49" spans="1:9" ht="12.75" customHeight="1">
      <c r="A49" s="158"/>
      <c r="B49" s="156"/>
      <c r="C49" s="156"/>
      <c r="D49" s="156"/>
      <c r="E49" s="156"/>
      <c r="F49" s="156"/>
      <c r="G49" s="156"/>
      <c r="H49" s="156"/>
      <c r="I49" s="157"/>
    </row>
    <row r="50" spans="1:9" ht="12.75" customHeight="1">
      <c r="A50" s="199"/>
      <c r="B50" s="167"/>
      <c r="C50" s="167"/>
      <c r="D50" s="167"/>
      <c r="E50" s="167"/>
      <c r="F50" s="167"/>
      <c r="G50" s="167"/>
      <c r="H50" s="167"/>
      <c r="I50" s="168"/>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33:I50"/>
    <mergeCell ref="C18:F18"/>
    <mergeCell ref="C22:F22"/>
    <mergeCell ref="G22:H22"/>
    <mergeCell ref="C23:F23"/>
    <mergeCell ref="G23:H23"/>
    <mergeCell ref="C24:F24"/>
    <mergeCell ref="G24:H24"/>
    <mergeCell ref="C25:F25"/>
    <mergeCell ref="G25:H25"/>
    <mergeCell ref="C26:F26"/>
    <mergeCell ref="G26:H26"/>
    <mergeCell ref="A31:I32"/>
    <mergeCell ref="C16:F16"/>
    <mergeCell ref="G16:H16"/>
    <mergeCell ref="C17:F17"/>
    <mergeCell ref="G17:H17"/>
    <mergeCell ref="G18:H18"/>
    <mergeCell ref="C11:F11"/>
    <mergeCell ref="G11:H11"/>
    <mergeCell ref="G12:H12"/>
    <mergeCell ref="C12:F12"/>
    <mergeCell ref="B15:I15"/>
    <mergeCell ref="B8:C8"/>
    <mergeCell ref="E8:G8"/>
    <mergeCell ref="C9:F9"/>
    <mergeCell ref="G9:H9"/>
    <mergeCell ref="C10:F10"/>
    <mergeCell ref="G10:H10"/>
    <mergeCell ref="A1:F1"/>
    <mergeCell ref="G1:I1"/>
    <mergeCell ref="A3:I3"/>
    <mergeCell ref="A4:I4"/>
    <mergeCell ref="A5:I5"/>
  </mergeCells>
  <hyperlinks>
    <hyperlink ref="A5" r:id="rId1" xr:uid="{00000000-0004-0000-0300-000000000000}"/>
  </hyperlinks>
  <pageMargins left="0.7" right="0.7" top="0.75" bottom="0.5" header="0" footer="0"/>
  <pageSetup orientation="portrait" r:id="rId2"/>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zoomScaleNormal="100" workbookViewId="0">
      <selection activeCell="U20" sqref="U20"/>
    </sheetView>
  </sheetViews>
  <sheetFormatPr defaultColWidth="12.54296875" defaultRowHeight="15" customHeight="1"/>
  <cols>
    <col min="1" max="26" width="9.1796875" customWidth="1"/>
  </cols>
  <sheetData>
    <row r="1" spans="1:15" ht="12.75" customHeight="1">
      <c r="A1" s="207" t="s">
        <v>62</v>
      </c>
      <c r="B1" s="152"/>
      <c r="C1" s="152"/>
      <c r="D1" s="152"/>
      <c r="E1" s="152"/>
      <c r="F1" s="152"/>
      <c r="G1" s="181"/>
      <c r="H1" s="208" t="str">
        <f>'CONTACT INFORMATION'!$A$24</f>
        <v>Humboldt</v>
      </c>
      <c r="I1" s="152"/>
      <c r="J1" s="153"/>
      <c r="K1" s="90"/>
      <c r="L1" s="58"/>
    </row>
    <row r="2" spans="1:15" ht="7.5" customHeight="1">
      <c r="A2" s="66"/>
      <c r="B2" s="66"/>
      <c r="C2" s="66"/>
      <c r="D2" s="66"/>
      <c r="E2" s="66"/>
      <c r="F2" s="66"/>
      <c r="G2" s="66"/>
      <c r="H2" s="66"/>
      <c r="I2" s="66"/>
      <c r="J2" s="66"/>
      <c r="K2" s="58"/>
      <c r="L2" s="58"/>
    </row>
    <row r="3" spans="1:15" ht="12.75" customHeight="1">
      <c r="A3" s="236" t="s">
        <v>63</v>
      </c>
      <c r="B3" s="163"/>
      <c r="C3" s="163"/>
      <c r="D3" s="163"/>
      <c r="E3" s="163"/>
      <c r="F3" s="163"/>
      <c r="G3" s="163"/>
      <c r="H3" s="163"/>
      <c r="I3" s="163"/>
      <c r="J3" s="164"/>
    </row>
    <row r="4" spans="1:15" ht="12.75" customHeight="1">
      <c r="A4" s="91"/>
      <c r="B4" s="92"/>
      <c r="C4" s="92"/>
      <c r="D4" s="92"/>
      <c r="E4" s="92"/>
      <c r="F4" s="92"/>
      <c r="G4" s="92"/>
      <c r="H4" s="92"/>
      <c r="I4" s="92"/>
      <c r="J4" s="93"/>
    </row>
    <row r="5" spans="1:15" ht="15" customHeight="1">
      <c r="A5" s="237" t="s">
        <v>64</v>
      </c>
      <c r="B5" s="197"/>
      <c r="C5" s="197"/>
      <c r="D5" s="197"/>
      <c r="E5" s="197"/>
      <c r="F5" s="197"/>
      <c r="G5" s="197"/>
      <c r="H5" s="197"/>
      <c r="I5" s="197"/>
      <c r="J5" s="198"/>
    </row>
    <row r="6" spans="1:15" ht="15" customHeight="1">
      <c r="A6" s="158"/>
      <c r="B6" s="156"/>
      <c r="C6" s="156"/>
      <c r="D6" s="156"/>
      <c r="E6" s="156"/>
      <c r="F6" s="156"/>
      <c r="G6" s="156"/>
      <c r="H6" s="156"/>
      <c r="I6" s="156"/>
      <c r="J6" s="157"/>
    </row>
    <row r="7" spans="1:15" ht="15" customHeight="1">
      <c r="A7" s="199"/>
      <c r="B7" s="167"/>
      <c r="C7" s="167"/>
      <c r="D7" s="167"/>
      <c r="E7" s="167"/>
      <c r="F7" s="167"/>
      <c r="G7" s="167"/>
      <c r="H7" s="167"/>
      <c r="I7" s="167"/>
      <c r="J7" s="168"/>
    </row>
    <row r="8" spans="1:15" ht="15" customHeight="1">
      <c r="A8" s="196" t="s">
        <v>966</v>
      </c>
      <c r="B8" s="197"/>
      <c r="C8" s="197"/>
      <c r="D8" s="197"/>
      <c r="E8" s="197"/>
      <c r="F8" s="197"/>
      <c r="G8" s="197"/>
      <c r="H8" s="197"/>
      <c r="I8" s="197"/>
      <c r="J8" s="198"/>
      <c r="K8" s="140"/>
      <c r="O8" s="76"/>
    </row>
    <row r="9" spans="1:15" ht="15" customHeight="1">
      <c r="A9" s="158"/>
      <c r="B9" s="156"/>
      <c r="C9" s="156"/>
      <c r="D9" s="156"/>
      <c r="E9" s="156"/>
      <c r="F9" s="156"/>
      <c r="G9" s="156"/>
      <c r="H9" s="156"/>
      <c r="I9" s="156"/>
      <c r="J9" s="157"/>
    </row>
    <row r="10" spans="1:15" ht="14.25" customHeight="1">
      <c r="A10" s="158"/>
      <c r="B10" s="156"/>
      <c r="C10" s="156"/>
      <c r="D10" s="156"/>
      <c r="E10" s="156"/>
      <c r="F10" s="156"/>
      <c r="G10" s="156"/>
      <c r="H10" s="156"/>
      <c r="I10" s="156"/>
      <c r="J10" s="157"/>
    </row>
    <row r="11" spans="1:15" ht="12.75" customHeight="1">
      <c r="A11" s="158"/>
      <c r="B11" s="156"/>
      <c r="C11" s="156"/>
      <c r="D11" s="156"/>
      <c r="E11" s="156"/>
      <c r="F11" s="156"/>
      <c r="G11" s="156"/>
      <c r="H11" s="156"/>
      <c r="I11" s="156"/>
      <c r="J11" s="157"/>
    </row>
    <row r="12" spans="1:15" ht="12.75" customHeight="1">
      <c r="A12" s="158"/>
      <c r="B12" s="156"/>
      <c r="C12" s="156"/>
      <c r="D12" s="156"/>
      <c r="E12" s="156"/>
      <c r="F12" s="156"/>
      <c r="G12" s="156"/>
      <c r="H12" s="156"/>
      <c r="I12" s="156"/>
      <c r="J12" s="157"/>
    </row>
    <row r="13" spans="1:15" ht="12.75" customHeight="1">
      <c r="A13" s="158"/>
      <c r="B13" s="156"/>
      <c r="C13" s="156"/>
      <c r="D13" s="156"/>
      <c r="E13" s="156"/>
      <c r="F13" s="156"/>
      <c r="G13" s="156"/>
      <c r="H13" s="156"/>
      <c r="I13" s="156"/>
      <c r="J13" s="157"/>
    </row>
    <row r="14" spans="1:15" ht="12.75" customHeight="1">
      <c r="A14" s="158"/>
      <c r="B14" s="156"/>
      <c r="C14" s="156"/>
      <c r="D14" s="156"/>
      <c r="E14" s="156"/>
      <c r="F14" s="156"/>
      <c r="G14" s="156"/>
      <c r="H14" s="156"/>
      <c r="I14" s="156"/>
      <c r="J14" s="157"/>
    </row>
    <row r="15" spans="1:15" ht="12.75" customHeight="1">
      <c r="A15" s="158"/>
      <c r="B15" s="156"/>
      <c r="C15" s="156"/>
      <c r="D15" s="156"/>
      <c r="E15" s="156"/>
      <c r="F15" s="156"/>
      <c r="G15" s="156"/>
      <c r="H15" s="156"/>
      <c r="I15" s="156"/>
      <c r="J15" s="157"/>
    </row>
    <row r="16" spans="1:15" ht="12.75" customHeight="1">
      <c r="A16" s="158"/>
      <c r="B16" s="156"/>
      <c r="C16" s="156"/>
      <c r="D16" s="156"/>
      <c r="E16" s="156"/>
      <c r="F16" s="156"/>
      <c r="G16" s="156"/>
      <c r="H16" s="156"/>
      <c r="I16" s="156"/>
      <c r="J16" s="157"/>
    </row>
    <row r="17" spans="1:10" ht="12.75" customHeight="1">
      <c r="A17" s="158"/>
      <c r="B17" s="156"/>
      <c r="C17" s="156"/>
      <c r="D17" s="156"/>
      <c r="E17" s="156"/>
      <c r="F17" s="156"/>
      <c r="G17" s="156"/>
      <c r="H17" s="156"/>
      <c r="I17" s="156"/>
      <c r="J17" s="157"/>
    </row>
    <row r="18" spans="1:10" ht="12.75" customHeight="1">
      <c r="A18" s="158"/>
      <c r="B18" s="156"/>
      <c r="C18" s="156"/>
      <c r="D18" s="156"/>
      <c r="E18" s="156"/>
      <c r="F18" s="156"/>
      <c r="G18" s="156"/>
      <c r="H18" s="156"/>
      <c r="I18" s="156"/>
      <c r="J18" s="157"/>
    </row>
    <row r="19" spans="1:10" ht="12.75" customHeight="1">
      <c r="A19" s="158"/>
      <c r="B19" s="156"/>
      <c r="C19" s="156"/>
      <c r="D19" s="156"/>
      <c r="E19" s="156"/>
      <c r="F19" s="156"/>
      <c r="G19" s="156"/>
      <c r="H19" s="156"/>
      <c r="I19" s="156"/>
      <c r="J19" s="157"/>
    </row>
    <row r="20" spans="1:10" ht="12.75" customHeight="1">
      <c r="A20" s="158"/>
      <c r="B20" s="156"/>
      <c r="C20" s="156"/>
      <c r="D20" s="156"/>
      <c r="E20" s="156"/>
      <c r="F20" s="156"/>
      <c r="G20" s="156"/>
      <c r="H20" s="156"/>
      <c r="I20" s="156"/>
      <c r="J20" s="157"/>
    </row>
    <row r="21" spans="1:10" ht="12.75" customHeight="1">
      <c r="A21" s="158"/>
      <c r="B21" s="156"/>
      <c r="C21" s="156"/>
      <c r="D21" s="156"/>
      <c r="E21" s="156"/>
      <c r="F21" s="156"/>
      <c r="G21" s="156"/>
      <c r="H21" s="156"/>
      <c r="I21" s="156"/>
      <c r="J21" s="157"/>
    </row>
    <row r="22" spans="1:10" ht="12.75" customHeight="1">
      <c r="A22" s="158"/>
      <c r="B22" s="156"/>
      <c r="C22" s="156"/>
      <c r="D22" s="156"/>
      <c r="E22" s="156"/>
      <c r="F22" s="156"/>
      <c r="G22" s="156"/>
      <c r="H22" s="156"/>
      <c r="I22" s="156"/>
      <c r="J22" s="157"/>
    </row>
    <row r="23" spans="1:10" ht="12.75" customHeight="1">
      <c r="A23" s="158"/>
      <c r="B23" s="156"/>
      <c r="C23" s="156"/>
      <c r="D23" s="156"/>
      <c r="E23" s="156"/>
      <c r="F23" s="156"/>
      <c r="G23" s="156"/>
      <c r="H23" s="156"/>
      <c r="I23" s="156"/>
      <c r="J23" s="157"/>
    </row>
    <row r="24" spans="1:10" ht="12.75" customHeight="1">
      <c r="A24" s="158"/>
      <c r="B24" s="156"/>
      <c r="C24" s="156"/>
      <c r="D24" s="156"/>
      <c r="E24" s="156"/>
      <c r="F24" s="156"/>
      <c r="G24" s="156"/>
      <c r="H24" s="156"/>
      <c r="I24" s="156"/>
      <c r="J24" s="157"/>
    </row>
    <row r="25" spans="1:10" ht="12.75" customHeight="1">
      <c r="A25" s="158"/>
      <c r="B25" s="156"/>
      <c r="C25" s="156"/>
      <c r="D25" s="156"/>
      <c r="E25" s="156"/>
      <c r="F25" s="156"/>
      <c r="G25" s="156"/>
      <c r="H25" s="156"/>
      <c r="I25" s="156"/>
      <c r="J25" s="157"/>
    </row>
    <row r="26" spans="1:10" ht="12.75" customHeight="1">
      <c r="A26" s="158"/>
      <c r="B26" s="156"/>
      <c r="C26" s="156"/>
      <c r="D26" s="156"/>
      <c r="E26" s="156"/>
      <c r="F26" s="156"/>
      <c r="G26" s="156"/>
      <c r="H26" s="156"/>
      <c r="I26" s="156"/>
      <c r="J26" s="157"/>
    </row>
    <row r="27" spans="1:10" ht="12.75" customHeight="1">
      <c r="A27" s="158"/>
      <c r="B27" s="156"/>
      <c r="C27" s="156"/>
      <c r="D27" s="156"/>
      <c r="E27" s="156"/>
      <c r="F27" s="156"/>
      <c r="G27" s="156"/>
      <c r="H27" s="156"/>
      <c r="I27" s="156"/>
      <c r="J27" s="157"/>
    </row>
    <row r="28" spans="1:10" ht="12.75" customHeight="1">
      <c r="A28" s="158"/>
      <c r="B28" s="156"/>
      <c r="C28" s="156"/>
      <c r="D28" s="156"/>
      <c r="E28" s="156"/>
      <c r="F28" s="156"/>
      <c r="G28" s="156"/>
      <c r="H28" s="156"/>
      <c r="I28" s="156"/>
      <c r="J28" s="157"/>
    </row>
    <row r="29" spans="1:10" ht="12.75" customHeight="1">
      <c r="A29" s="158"/>
      <c r="B29" s="156"/>
      <c r="C29" s="156"/>
      <c r="D29" s="156"/>
      <c r="E29" s="156"/>
      <c r="F29" s="156"/>
      <c r="G29" s="156"/>
      <c r="H29" s="156"/>
      <c r="I29" s="156"/>
      <c r="J29" s="157"/>
    </row>
    <row r="30" spans="1:10" ht="12.75" customHeight="1">
      <c r="A30" s="158"/>
      <c r="B30" s="156"/>
      <c r="C30" s="156"/>
      <c r="D30" s="156"/>
      <c r="E30" s="156"/>
      <c r="F30" s="156"/>
      <c r="G30" s="156"/>
      <c r="H30" s="156"/>
      <c r="I30" s="156"/>
      <c r="J30" s="157"/>
    </row>
    <row r="31" spans="1:10" ht="12.75" customHeight="1">
      <c r="A31" s="158"/>
      <c r="B31" s="156"/>
      <c r="C31" s="156"/>
      <c r="D31" s="156"/>
      <c r="E31" s="156"/>
      <c r="F31" s="156"/>
      <c r="G31" s="156"/>
      <c r="H31" s="156"/>
      <c r="I31" s="156"/>
      <c r="J31" s="157"/>
    </row>
    <row r="32" spans="1:10" ht="12.75" customHeight="1">
      <c r="A32" s="158"/>
      <c r="B32" s="156"/>
      <c r="C32" s="156"/>
      <c r="D32" s="156"/>
      <c r="E32" s="156"/>
      <c r="F32" s="156"/>
      <c r="G32" s="156"/>
      <c r="H32" s="156"/>
      <c r="I32" s="156"/>
      <c r="J32" s="157"/>
    </row>
    <row r="33" spans="1:10" ht="12.75" customHeight="1">
      <c r="A33" s="158"/>
      <c r="B33" s="156"/>
      <c r="C33" s="156"/>
      <c r="D33" s="156"/>
      <c r="E33" s="156"/>
      <c r="F33" s="156"/>
      <c r="G33" s="156"/>
      <c r="H33" s="156"/>
      <c r="I33" s="156"/>
      <c r="J33" s="157"/>
    </row>
    <row r="34" spans="1:10" ht="12.75" customHeight="1">
      <c r="A34" s="158"/>
      <c r="B34" s="156"/>
      <c r="C34" s="156"/>
      <c r="D34" s="156"/>
      <c r="E34" s="156"/>
      <c r="F34" s="156"/>
      <c r="G34" s="156"/>
      <c r="H34" s="156"/>
      <c r="I34" s="156"/>
      <c r="J34" s="157"/>
    </row>
    <row r="35" spans="1:10" ht="12.75" customHeight="1">
      <c r="A35" s="158"/>
      <c r="B35" s="156"/>
      <c r="C35" s="156"/>
      <c r="D35" s="156"/>
      <c r="E35" s="156"/>
      <c r="F35" s="156"/>
      <c r="G35" s="156"/>
      <c r="H35" s="156"/>
      <c r="I35" s="156"/>
      <c r="J35" s="157"/>
    </row>
    <row r="36" spans="1:10" ht="12.75" customHeight="1">
      <c r="A36" s="158"/>
      <c r="B36" s="156"/>
      <c r="C36" s="156"/>
      <c r="D36" s="156"/>
      <c r="E36" s="156"/>
      <c r="F36" s="156"/>
      <c r="G36" s="156"/>
      <c r="H36" s="156"/>
      <c r="I36" s="156"/>
      <c r="J36" s="157"/>
    </row>
    <row r="37" spans="1:10" ht="12.75" customHeight="1">
      <c r="A37" s="158"/>
      <c r="B37" s="156"/>
      <c r="C37" s="156"/>
      <c r="D37" s="156"/>
      <c r="E37" s="156"/>
      <c r="F37" s="156"/>
      <c r="G37" s="156"/>
      <c r="H37" s="156"/>
      <c r="I37" s="156"/>
      <c r="J37" s="157"/>
    </row>
    <row r="38" spans="1:10" ht="12.75" customHeight="1">
      <c r="A38" s="158"/>
      <c r="B38" s="156"/>
      <c r="C38" s="156"/>
      <c r="D38" s="156"/>
      <c r="E38" s="156"/>
      <c r="F38" s="156"/>
      <c r="G38" s="156"/>
      <c r="H38" s="156"/>
      <c r="I38" s="156"/>
      <c r="J38" s="157"/>
    </row>
    <row r="39" spans="1:10" ht="12.75" customHeight="1">
      <c r="A39" s="158"/>
      <c r="B39" s="156"/>
      <c r="C39" s="156"/>
      <c r="D39" s="156"/>
      <c r="E39" s="156"/>
      <c r="F39" s="156"/>
      <c r="G39" s="156"/>
      <c r="H39" s="156"/>
      <c r="I39" s="156"/>
      <c r="J39" s="157"/>
    </row>
    <row r="40" spans="1:10" ht="12.75" customHeight="1">
      <c r="A40" s="158"/>
      <c r="B40" s="156"/>
      <c r="C40" s="156"/>
      <c r="D40" s="156"/>
      <c r="E40" s="156"/>
      <c r="F40" s="156"/>
      <c r="G40" s="156"/>
      <c r="H40" s="156"/>
      <c r="I40" s="156"/>
      <c r="J40" s="157"/>
    </row>
    <row r="41" spans="1:10" ht="12.75" customHeight="1">
      <c r="A41" s="158"/>
      <c r="B41" s="156"/>
      <c r="C41" s="156"/>
      <c r="D41" s="156"/>
      <c r="E41" s="156"/>
      <c r="F41" s="156"/>
      <c r="G41" s="156"/>
      <c r="H41" s="156"/>
      <c r="I41" s="156"/>
      <c r="J41" s="157"/>
    </row>
    <row r="42" spans="1:10" ht="12.75" customHeight="1">
      <c r="A42" s="158"/>
      <c r="B42" s="156"/>
      <c r="C42" s="156"/>
      <c r="D42" s="156"/>
      <c r="E42" s="156"/>
      <c r="F42" s="156"/>
      <c r="G42" s="156"/>
      <c r="H42" s="156"/>
      <c r="I42" s="156"/>
      <c r="J42" s="157"/>
    </row>
    <row r="43" spans="1:10" ht="12.75" customHeight="1">
      <c r="A43" s="158"/>
      <c r="B43" s="156"/>
      <c r="C43" s="156"/>
      <c r="D43" s="156"/>
      <c r="E43" s="156"/>
      <c r="F43" s="156"/>
      <c r="G43" s="156"/>
      <c r="H43" s="156"/>
      <c r="I43" s="156"/>
      <c r="J43" s="157"/>
    </row>
    <row r="44" spans="1:10" ht="12.75" customHeight="1">
      <c r="A44" s="158"/>
      <c r="B44" s="156"/>
      <c r="C44" s="156"/>
      <c r="D44" s="156"/>
      <c r="E44" s="156"/>
      <c r="F44" s="156"/>
      <c r="G44" s="156"/>
      <c r="H44" s="156"/>
      <c r="I44" s="156"/>
      <c r="J44" s="157"/>
    </row>
    <row r="45" spans="1:10" ht="12.75" customHeight="1">
      <c r="A45" s="158"/>
      <c r="B45" s="156"/>
      <c r="C45" s="156"/>
      <c r="D45" s="156"/>
      <c r="E45" s="156"/>
      <c r="F45" s="156"/>
      <c r="G45" s="156"/>
      <c r="H45" s="156"/>
      <c r="I45" s="156"/>
      <c r="J45" s="157"/>
    </row>
    <row r="46" spans="1:10" ht="12.75" customHeight="1">
      <c r="A46" s="158"/>
      <c r="B46" s="156"/>
      <c r="C46" s="156"/>
      <c r="D46" s="156"/>
      <c r="E46" s="156"/>
      <c r="F46" s="156"/>
      <c r="G46" s="156"/>
      <c r="H46" s="156"/>
      <c r="I46" s="156"/>
      <c r="J46" s="157"/>
    </row>
    <row r="47" spans="1:10" ht="12.75" customHeight="1">
      <c r="A47" s="158"/>
      <c r="B47" s="156"/>
      <c r="C47" s="156"/>
      <c r="D47" s="156"/>
      <c r="E47" s="156"/>
      <c r="F47" s="156"/>
      <c r="G47" s="156"/>
      <c r="H47" s="156"/>
      <c r="I47" s="156"/>
      <c r="J47" s="157"/>
    </row>
    <row r="48" spans="1:10" ht="12.75" customHeight="1">
      <c r="A48" s="158"/>
      <c r="B48" s="156"/>
      <c r="C48" s="156"/>
      <c r="D48" s="156"/>
      <c r="E48" s="156"/>
      <c r="F48" s="156"/>
      <c r="G48" s="156"/>
      <c r="H48" s="156"/>
      <c r="I48" s="156"/>
      <c r="J48" s="157"/>
    </row>
    <row r="49" spans="1:10" ht="12.75" customHeight="1">
      <c r="A49" s="158"/>
      <c r="B49" s="156"/>
      <c r="C49" s="156"/>
      <c r="D49" s="156"/>
      <c r="E49" s="156"/>
      <c r="F49" s="156"/>
      <c r="G49" s="156"/>
      <c r="H49" s="156"/>
      <c r="I49" s="156"/>
      <c r="J49" s="157"/>
    </row>
    <row r="50" spans="1:10" ht="12.75" customHeight="1">
      <c r="A50" s="158"/>
      <c r="B50" s="156"/>
      <c r="C50" s="156"/>
      <c r="D50" s="156"/>
      <c r="E50" s="156"/>
      <c r="F50" s="156"/>
      <c r="G50" s="156"/>
      <c r="H50" s="156"/>
      <c r="I50" s="156"/>
      <c r="J50" s="157"/>
    </row>
    <row r="51" spans="1:10" ht="12.75" customHeight="1">
      <c r="A51" s="158"/>
      <c r="B51" s="156"/>
      <c r="C51" s="156"/>
      <c r="D51" s="156"/>
      <c r="E51" s="156"/>
      <c r="F51" s="156"/>
      <c r="G51" s="156"/>
      <c r="H51" s="156"/>
      <c r="I51" s="156"/>
      <c r="J51" s="157"/>
    </row>
    <row r="52" spans="1:10" ht="12.75" customHeight="1">
      <c r="A52" s="158"/>
      <c r="B52" s="156"/>
      <c r="C52" s="156"/>
      <c r="D52" s="156"/>
      <c r="E52" s="156"/>
      <c r="F52" s="156"/>
      <c r="G52" s="156"/>
      <c r="H52" s="156"/>
      <c r="I52" s="156"/>
      <c r="J52" s="157"/>
    </row>
    <row r="53" spans="1:10" ht="12.75" customHeight="1">
      <c r="A53" s="158"/>
      <c r="B53" s="156"/>
      <c r="C53" s="156"/>
      <c r="D53" s="156"/>
      <c r="E53" s="156"/>
      <c r="F53" s="156"/>
      <c r="G53" s="156"/>
      <c r="H53" s="156"/>
      <c r="I53" s="156"/>
      <c r="J53" s="157"/>
    </row>
    <row r="54" spans="1:10" ht="12.75" customHeight="1">
      <c r="A54" s="158"/>
      <c r="B54" s="156"/>
      <c r="C54" s="156"/>
      <c r="D54" s="156"/>
      <c r="E54" s="156"/>
      <c r="F54" s="156"/>
      <c r="G54" s="156"/>
      <c r="H54" s="156"/>
      <c r="I54" s="156"/>
      <c r="J54" s="157"/>
    </row>
    <row r="55" spans="1:10" ht="12.75" customHeight="1">
      <c r="A55" s="158"/>
      <c r="B55" s="156"/>
      <c r="C55" s="156"/>
      <c r="D55" s="156"/>
      <c r="E55" s="156"/>
      <c r="F55" s="156"/>
      <c r="G55" s="156"/>
      <c r="H55" s="156"/>
      <c r="I55" s="156"/>
      <c r="J55" s="157"/>
    </row>
    <row r="56" spans="1:10" ht="12.75" customHeight="1">
      <c r="A56" s="199"/>
      <c r="B56" s="167"/>
      <c r="C56" s="167"/>
      <c r="D56" s="167"/>
      <c r="E56" s="167"/>
      <c r="F56" s="167"/>
      <c r="G56" s="167"/>
      <c r="H56" s="167"/>
      <c r="I56" s="167"/>
      <c r="J56" s="168"/>
    </row>
    <row r="57" spans="1:10" ht="12.75" customHeight="1">
      <c r="A57" s="141"/>
    </row>
    <row r="58" spans="1:10" ht="12.75" customHeight="1"/>
    <row r="59" spans="1:10" ht="12.75" customHeight="1">
      <c r="A59" s="141"/>
    </row>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39"/>
      <c r="J88" s="3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headerFooter>
    <oddHeader>&amp;L&amp;F</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47"/>
  <sheetViews>
    <sheetView showGridLines="0" topLeftCell="A304" workbookViewId="0">
      <selection activeCell="E352" sqref="E352:F352"/>
    </sheetView>
  </sheetViews>
  <sheetFormatPr defaultColWidth="12.54296875" defaultRowHeight="15" customHeight="1"/>
  <cols>
    <col min="1" max="1" width="10.453125" customWidth="1"/>
    <col min="2" max="5" width="8.81640625" customWidth="1"/>
    <col min="6" max="6" width="8" customWidth="1"/>
    <col min="7" max="9" width="8.81640625" customWidth="1"/>
    <col min="10" max="10" width="9" customWidth="1"/>
    <col min="11" max="12" width="8.81640625" customWidth="1"/>
    <col min="13" max="13" width="9.1796875" customWidth="1"/>
    <col min="14" max="26" width="8.81640625" customWidth="1"/>
  </cols>
  <sheetData>
    <row r="1" spans="1:10" ht="15.75" customHeight="1">
      <c r="A1" s="207" t="s">
        <v>65</v>
      </c>
      <c r="B1" s="152"/>
      <c r="C1" s="152"/>
      <c r="D1" s="152"/>
      <c r="E1" s="152"/>
      <c r="F1" s="152"/>
      <c r="G1" s="181"/>
      <c r="H1" s="208" t="str">
        <f>'CONTACT INFORMATION'!$A$24</f>
        <v>Humboldt</v>
      </c>
      <c r="I1" s="152"/>
      <c r="J1" s="153"/>
    </row>
    <row r="2" spans="1:10" ht="9" customHeight="1"/>
    <row r="3" spans="1:10" ht="12" customHeight="1">
      <c r="A3" s="243" t="s">
        <v>66</v>
      </c>
      <c r="B3" s="156"/>
      <c r="C3" s="156"/>
      <c r="D3" s="156"/>
      <c r="E3" s="156"/>
      <c r="F3" s="156"/>
      <c r="G3" s="156"/>
      <c r="H3" s="156"/>
      <c r="I3" s="156"/>
      <c r="J3" s="156"/>
    </row>
    <row r="4" spans="1:10" ht="13.5" customHeight="1">
      <c r="A4" s="156"/>
      <c r="B4" s="156"/>
      <c r="C4" s="156"/>
      <c r="D4" s="156"/>
      <c r="E4" s="156"/>
      <c r="F4" s="156"/>
      <c r="G4" s="156"/>
      <c r="H4" s="156"/>
      <c r="I4" s="156"/>
      <c r="J4" s="156"/>
    </row>
    <row r="5" spans="1:10" ht="13.5" customHeight="1">
      <c r="A5" s="156"/>
      <c r="B5" s="156"/>
      <c r="C5" s="156"/>
      <c r="D5" s="156"/>
      <c r="E5" s="156"/>
      <c r="F5" s="156"/>
      <c r="G5" s="156"/>
      <c r="H5" s="156"/>
      <c r="I5" s="156"/>
      <c r="J5" s="156"/>
    </row>
    <row r="6" spans="1:10" ht="13.5" customHeight="1">
      <c r="A6" s="156"/>
      <c r="B6" s="156"/>
      <c r="C6" s="156"/>
      <c r="D6" s="156"/>
      <c r="E6" s="156"/>
      <c r="F6" s="156"/>
      <c r="G6" s="156"/>
      <c r="H6" s="156"/>
      <c r="I6" s="156"/>
      <c r="J6" s="156"/>
    </row>
    <row r="7" spans="1:10" ht="9" customHeight="1">
      <c r="A7" s="156"/>
      <c r="B7" s="156"/>
      <c r="C7" s="156"/>
      <c r="D7" s="156"/>
      <c r="E7" s="156"/>
      <c r="F7" s="156"/>
      <c r="G7" s="156"/>
      <c r="H7" s="156"/>
      <c r="I7" s="156"/>
      <c r="J7" s="156"/>
    </row>
    <row r="8" spans="1:10" ht="10.5" customHeight="1"/>
    <row r="9" spans="1:10" ht="13.5" customHeight="1">
      <c r="A9" s="175" t="s">
        <v>67</v>
      </c>
      <c r="B9" s="156"/>
      <c r="C9" s="156"/>
      <c r="D9" s="156"/>
      <c r="E9" s="156"/>
      <c r="F9" s="156"/>
      <c r="G9" s="156"/>
      <c r="H9" s="156"/>
      <c r="I9" s="156"/>
      <c r="J9" s="156"/>
    </row>
    <row r="10" spans="1:10" ht="13.5" customHeight="1">
      <c r="A10" s="156"/>
      <c r="B10" s="156"/>
      <c r="C10" s="156"/>
      <c r="D10" s="156"/>
      <c r="E10" s="156"/>
      <c r="F10" s="156"/>
      <c r="G10" s="156"/>
      <c r="H10" s="156"/>
      <c r="I10" s="156"/>
      <c r="J10" s="156"/>
    </row>
    <row r="11" spans="1:10" ht="13.5" customHeight="1">
      <c r="A11" s="156"/>
      <c r="B11" s="156"/>
      <c r="C11" s="156"/>
      <c r="D11" s="156"/>
      <c r="E11" s="156"/>
      <c r="F11" s="156"/>
      <c r="G11" s="156"/>
      <c r="H11" s="156"/>
      <c r="I11" s="156"/>
      <c r="J11" s="156"/>
    </row>
    <row r="12" spans="1:10" ht="12.75" customHeight="1">
      <c r="A12" s="22"/>
      <c r="B12" s="22"/>
      <c r="C12" s="22"/>
      <c r="D12" s="22"/>
      <c r="E12" s="22"/>
      <c r="F12" s="22"/>
      <c r="G12" s="22"/>
      <c r="H12" s="22"/>
      <c r="I12" s="22"/>
      <c r="J12" s="22"/>
    </row>
    <row r="13" spans="1:10" ht="12.75" customHeight="1">
      <c r="A13" s="244" t="s">
        <v>68</v>
      </c>
      <c r="B13" s="156"/>
      <c r="C13" s="156"/>
      <c r="D13" s="156"/>
      <c r="E13" s="156"/>
      <c r="F13" s="156"/>
      <c r="G13" s="156"/>
      <c r="H13" s="156"/>
      <c r="I13" s="156"/>
      <c r="J13" s="156"/>
    </row>
    <row r="14" spans="1:10" ht="18" customHeight="1">
      <c r="A14" s="94"/>
      <c r="B14" s="95" t="s">
        <v>69</v>
      </c>
      <c r="C14" s="245" t="s">
        <v>70</v>
      </c>
      <c r="D14" s="246"/>
      <c r="E14" s="246"/>
      <c r="F14" s="96"/>
      <c r="G14" s="95" t="s">
        <v>69</v>
      </c>
      <c r="H14" s="245" t="s">
        <v>70</v>
      </c>
      <c r="I14" s="246"/>
      <c r="J14" s="246"/>
    </row>
    <row r="15" spans="1:10" ht="12" customHeight="1">
      <c r="A15" s="97" t="s">
        <v>71</v>
      </c>
      <c r="B15" s="98">
        <v>1</v>
      </c>
      <c r="C15" s="99" t="s">
        <v>72</v>
      </c>
      <c r="F15" s="99"/>
      <c r="G15" s="98">
        <v>5</v>
      </c>
      <c r="H15" s="99" t="s">
        <v>73</v>
      </c>
      <c r="I15" s="99"/>
      <c r="J15" s="99"/>
    </row>
    <row r="16" spans="1:10" ht="12" customHeight="1">
      <c r="A16" s="99"/>
      <c r="B16" s="98">
        <v>2</v>
      </c>
      <c r="C16" s="99" t="s">
        <v>74</v>
      </c>
      <c r="F16" s="99"/>
      <c r="G16" s="98">
        <v>6</v>
      </c>
      <c r="H16" s="99" t="s">
        <v>75</v>
      </c>
      <c r="I16" s="99"/>
      <c r="J16" s="99"/>
    </row>
    <row r="17" spans="1:10" ht="12" customHeight="1">
      <c r="A17" s="99"/>
      <c r="B17" s="98">
        <v>3</v>
      </c>
      <c r="C17" s="99" t="s">
        <v>76</v>
      </c>
      <c r="F17" s="99"/>
      <c r="G17" s="98">
        <v>7</v>
      </c>
      <c r="H17" s="99" t="s">
        <v>77</v>
      </c>
      <c r="I17" s="99"/>
      <c r="J17" s="99"/>
    </row>
    <row r="18" spans="1:10" ht="12" customHeight="1">
      <c r="A18" s="99"/>
      <c r="B18" s="98">
        <v>4</v>
      </c>
      <c r="C18" s="99" t="s">
        <v>78</v>
      </c>
      <c r="F18" s="99"/>
      <c r="G18" s="99"/>
      <c r="H18" s="99"/>
      <c r="I18" s="99"/>
      <c r="J18" s="99"/>
    </row>
    <row r="19" spans="1:10" ht="10.5" customHeight="1">
      <c r="A19" s="99"/>
      <c r="B19" s="98"/>
      <c r="C19" s="99"/>
      <c r="F19" s="99"/>
      <c r="G19" s="99"/>
      <c r="H19" s="99"/>
      <c r="I19" s="99"/>
      <c r="J19" s="99"/>
    </row>
    <row r="20" spans="1:10" ht="12" customHeight="1">
      <c r="A20" s="94"/>
      <c r="B20" s="95" t="s">
        <v>69</v>
      </c>
      <c r="C20" s="245" t="s">
        <v>70</v>
      </c>
      <c r="D20" s="246"/>
      <c r="E20" s="246"/>
      <c r="F20" s="96"/>
      <c r="G20" s="95" t="s">
        <v>69</v>
      </c>
      <c r="H20" s="245" t="s">
        <v>70</v>
      </c>
      <c r="I20" s="246"/>
      <c r="J20" s="246"/>
    </row>
    <row r="21" spans="1:10" ht="12" customHeight="1">
      <c r="A21" s="97" t="s">
        <v>79</v>
      </c>
      <c r="B21" s="98">
        <v>8</v>
      </c>
      <c r="C21" s="99" t="s">
        <v>80</v>
      </c>
      <c r="F21" s="99"/>
      <c r="G21" s="98">
        <v>26</v>
      </c>
      <c r="H21" s="99" t="s">
        <v>81</v>
      </c>
      <c r="I21" s="99"/>
      <c r="J21" s="99"/>
    </row>
    <row r="22" spans="1:10" ht="12" customHeight="1">
      <c r="A22" s="97" t="s">
        <v>82</v>
      </c>
      <c r="B22" s="98">
        <v>9</v>
      </c>
      <c r="C22" s="99" t="s">
        <v>83</v>
      </c>
      <c r="F22" s="99"/>
      <c r="G22" s="98"/>
      <c r="H22" s="99" t="s">
        <v>84</v>
      </c>
      <c r="I22" s="99"/>
      <c r="J22" s="99"/>
    </row>
    <row r="23" spans="1:10" ht="12" customHeight="1">
      <c r="B23" s="98">
        <v>10</v>
      </c>
      <c r="C23" s="99" t="s">
        <v>85</v>
      </c>
      <c r="F23" s="99"/>
      <c r="G23" s="98">
        <v>27</v>
      </c>
      <c r="H23" s="99" t="s">
        <v>86</v>
      </c>
      <c r="I23" s="99"/>
      <c r="J23" s="99"/>
    </row>
    <row r="24" spans="1:10" ht="12" customHeight="1">
      <c r="A24" s="99"/>
      <c r="B24" s="98">
        <v>11</v>
      </c>
      <c r="C24" s="99" t="s">
        <v>87</v>
      </c>
      <c r="F24" s="99"/>
      <c r="G24" s="98">
        <v>28</v>
      </c>
      <c r="H24" s="99" t="s">
        <v>88</v>
      </c>
      <c r="I24" s="99"/>
      <c r="J24" s="99"/>
    </row>
    <row r="25" spans="1:10" ht="12" customHeight="1">
      <c r="A25" s="99"/>
      <c r="B25" s="98">
        <v>12</v>
      </c>
      <c r="C25" s="99" t="s">
        <v>89</v>
      </c>
      <c r="F25" s="99"/>
      <c r="G25" s="98">
        <v>29</v>
      </c>
      <c r="H25" s="99" t="s">
        <v>90</v>
      </c>
      <c r="I25" s="99"/>
      <c r="J25" s="99"/>
    </row>
    <row r="26" spans="1:10" ht="12" customHeight="1">
      <c r="A26" s="99"/>
      <c r="B26" s="98">
        <v>13</v>
      </c>
      <c r="C26" s="99" t="s">
        <v>91</v>
      </c>
      <c r="F26" s="99"/>
      <c r="G26" s="98">
        <v>30</v>
      </c>
      <c r="H26" s="99" t="s">
        <v>92</v>
      </c>
      <c r="I26" s="99"/>
      <c r="J26" s="99"/>
    </row>
    <row r="27" spans="1:10" ht="12" customHeight="1">
      <c r="A27" s="99"/>
      <c r="B27" s="98">
        <v>14</v>
      </c>
      <c r="C27" s="99" t="s">
        <v>93</v>
      </c>
      <c r="F27" s="99"/>
      <c r="G27" s="98">
        <v>31</v>
      </c>
      <c r="H27" s="99" t="s">
        <v>94</v>
      </c>
      <c r="I27" s="99"/>
      <c r="J27" s="99"/>
    </row>
    <row r="28" spans="1:10" ht="12" customHeight="1">
      <c r="A28" s="99"/>
      <c r="B28" s="98">
        <v>15</v>
      </c>
      <c r="C28" s="99" t="s">
        <v>95</v>
      </c>
      <c r="F28" s="99"/>
      <c r="G28" s="98">
        <v>32</v>
      </c>
      <c r="H28" s="99" t="s">
        <v>96</v>
      </c>
      <c r="I28" s="99"/>
      <c r="J28" s="99"/>
    </row>
    <row r="29" spans="1:10" ht="12" customHeight="1">
      <c r="A29" s="99"/>
      <c r="B29" s="98">
        <v>16</v>
      </c>
      <c r="C29" s="99" t="s">
        <v>97</v>
      </c>
      <c r="F29" s="99"/>
      <c r="G29" s="98">
        <v>33</v>
      </c>
      <c r="H29" s="99" t="s">
        <v>98</v>
      </c>
      <c r="I29" s="99"/>
      <c r="J29" s="99"/>
    </row>
    <row r="30" spans="1:10" ht="12" customHeight="1">
      <c r="A30" s="99"/>
      <c r="B30" s="98">
        <v>17</v>
      </c>
      <c r="C30" s="99" t="s">
        <v>99</v>
      </c>
      <c r="F30" s="99"/>
      <c r="G30" s="98">
        <v>34</v>
      </c>
      <c r="H30" s="99" t="s">
        <v>100</v>
      </c>
      <c r="I30" s="99"/>
      <c r="J30" s="99"/>
    </row>
    <row r="31" spans="1:10" ht="12" customHeight="1">
      <c r="A31" s="99"/>
      <c r="B31" s="98">
        <v>18</v>
      </c>
      <c r="C31" s="99" t="s">
        <v>101</v>
      </c>
      <c r="F31" s="99"/>
      <c r="G31" s="98">
        <v>35</v>
      </c>
      <c r="H31" s="99" t="s">
        <v>102</v>
      </c>
      <c r="I31" s="99"/>
      <c r="J31" s="99"/>
    </row>
    <row r="32" spans="1:10" ht="12" customHeight="1">
      <c r="A32" s="99"/>
      <c r="B32" s="98">
        <v>19</v>
      </c>
      <c r="C32" s="99" t="s">
        <v>103</v>
      </c>
      <c r="F32" s="99"/>
      <c r="G32" s="98">
        <v>36</v>
      </c>
      <c r="H32" s="99" t="s">
        <v>104</v>
      </c>
      <c r="I32" s="99"/>
      <c r="J32" s="99"/>
    </row>
    <row r="33" spans="1:10" ht="12" customHeight="1">
      <c r="A33" s="99"/>
      <c r="B33" s="98">
        <v>20</v>
      </c>
      <c r="C33" s="99" t="s">
        <v>105</v>
      </c>
      <c r="F33" s="99"/>
      <c r="G33" s="98">
        <v>37</v>
      </c>
      <c r="H33" s="99" t="s">
        <v>106</v>
      </c>
      <c r="I33" s="99"/>
      <c r="J33" s="99"/>
    </row>
    <row r="34" spans="1:10" ht="12" customHeight="1">
      <c r="A34" s="99"/>
      <c r="B34" s="98">
        <v>21</v>
      </c>
      <c r="C34" s="99" t="s">
        <v>107</v>
      </c>
      <c r="F34" s="99"/>
      <c r="G34" s="98">
        <v>38</v>
      </c>
      <c r="H34" s="99" t="s">
        <v>108</v>
      </c>
      <c r="I34" s="99"/>
      <c r="J34" s="99"/>
    </row>
    <row r="35" spans="1:10" ht="12" customHeight="1">
      <c r="A35" s="99"/>
      <c r="B35" s="98">
        <v>22</v>
      </c>
      <c r="C35" s="99" t="s">
        <v>109</v>
      </c>
      <c r="F35" s="99"/>
      <c r="G35" s="98">
        <v>39</v>
      </c>
      <c r="H35" s="99" t="s">
        <v>110</v>
      </c>
      <c r="I35" s="99"/>
      <c r="J35" s="99"/>
    </row>
    <row r="36" spans="1:10" ht="12" customHeight="1">
      <c r="A36" s="99"/>
      <c r="B36" s="98">
        <v>23</v>
      </c>
      <c r="C36" s="99" t="s">
        <v>111</v>
      </c>
      <c r="F36" s="99"/>
      <c r="G36" s="98">
        <v>40</v>
      </c>
      <c r="H36" s="99" t="s">
        <v>112</v>
      </c>
      <c r="I36" s="99"/>
      <c r="J36" s="99"/>
    </row>
    <row r="37" spans="1:10" ht="12" customHeight="1">
      <c r="A37" s="99"/>
      <c r="B37" s="98">
        <v>24</v>
      </c>
      <c r="C37" s="99" t="s">
        <v>113</v>
      </c>
      <c r="F37" s="99"/>
      <c r="G37" s="98">
        <v>41</v>
      </c>
      <c r="H37" s="99" t="s">
        <v>114</v>
      </c>
      <c r="I37" s="99"/>
      <c r="J37" s="99"/>
    </row>
    <row r="38" spans="1:10" ht="12" customHeight="1">
      <c r="A38" s="99"/>
      <c r="B38" s="98">
        <v>25</v>
      </c>
      <c r="C38" s="99" t="s">
        <v>115</v>
      </c>
      <c r="F38" s="99"/>
      <c r="G38" s="98">
        <v>42</v>
      </c>
      <c r="H38" s="99" t="s">
        <v>116</v>
      </c>
      <c r="I38" s="99"/>
      <c r="J38" s="99"/>
    </row>
    <row r="39" spans="1:10" ht="12" customHeight="1">
      <c r="A39" s="99"/>
      <c r="B39" s="98"/>
      <c r="C39" s="99"/>
      <c r="F39" s="99"/>
      <c r="G39" s="98">
        <v>43</v>
      </c>
      <c r="H39" s="99" t="s">
        <v>117</v>
      </c>
      <c r="I39" s="99"/>
      <c r="J39" s="99"/>
    </row>
    <row r="40" spans="1:10" ht="12" customHeight="1">
      <c r="A40" s="99"/>
      <c r="B40" s="98"/>
      <c r="C40" s="99"/>
      <c r="F40" s="99"/>
      <c r="G40" s="98"/>
      <c r="H40" s="99"/>
      <c r="I40" s="99"/>
      <c r="J40" s="99"/>
    </row>
    <row r="41" spans="1:10" ht="12" customHeight="1">
      <c r="A41" s="94"/>
      <c r="B41" s="95" t="s">
        <v>69</v>
      </c>
      <c r="C41" s="245" t="s">
        <v>70</v>
      </c>
      <c r="D41" s="246"/>
      <c r="E41" s="246"/>
      <c r="F41" s="96"/>
      <c r="G41" s="95" t="s">
        <v>69</v>
      </c>
      <c r="H41" s="245" t="s">
        <v>70</v>
      </c>
      <c r="I41" s="246"/>
      <c r="J41" s="246"/>
    </row>
    <row r="42" spans="1:10" ht="12" customHeight="1">
      <c r="A42" s="97" t="s">
        <v>118</v>
      </c>
      <c r="B42" s="98">
        <v>44</v>
      </c>
      <c r="C42" s="99" t="s">
        <v>119</v>
      </c>
      <c r="F42" s="99"/>
      <c r="G42" s="98">
        <v>48</v>
      </c>
      <c r="H42" s="99" t="s">
        <v>120</v>
      </c>
      <c r="I42" s="99"/>
      <c r="J42" s="99"/>
    </row>
    <row r="43" spans="1:10" ht="12" customHeight="1">
      <c r="A43" s="97" t="s">
        <v>121</v>
      </c>
      <c r="B43" s="98">
        <v>45</v>
      </c>
      <c r="C43" s="99" t="s">
        <v>122</v>
      </c>
      <c r="F43" s="99"/>
      <c r="G43" s="98">
        <v>49</v>
      </c>
      <c r="H43" s="99" t="s">
        <v>123</v>
      </c>
      <c r="I43" s="99"/>
      <c r="J43" s="99"/>
    </row>
    <row r="44" spans="1:10" ht="12" customHeight="1">
      <c r="A44" s="97" t="s">
        <v>124</v>
      </c>
      <c r="B44" s="98">
        <v>46</v>
      </c>
      <c r="C44" s="99" t="s">
        <v>125</v>
      </c>
      <c r="F44" s="99"/>
      <c r="G44" s="98">
        <v>50</v>
      </c>
      <c r="H44" s="99" t="s">
        <v>126</v>
      </c>
      <c r="I44" s="99"/>
      <c r="J44" s="99"/>
    </row>
    <row r="45" spans="1:10" ht="12" customHeight="1">
      <c r="A45" s="97" t="s">
        <v>127</v>
      </c>
      <c r="B45" s="98">
        <v>47</v>
      </c>
      <c r="C45" s="99" t="s">
        <v>128</v>
      </c>
      <c r="F45" s="99"/>
      <c r="G45" s="98"/>
      <c r="H45" s="99"/>
      <c r="I45" s="99"/>
      <c r="J45" s="99"/>
    </row>
    <row r="46" spans="1:10" ht="12.75" customHeight="1">
      <c r="A46" s="99"/>
      <c r="B46" s="99"/>
      <c r="C46" s="99"/>
      <c r="F46" s="99"/>
      <c r="G46" s="99"/>
      <c r="H46" s="99"/>
      <c r="I46" s="99"/>
      <c r="J46" s="99"/>
    </row>
    <row r="47" spans="1:10" ht="12.75" customHeight="1">
      <c r="A47" s="175" t="s">
        <v>129</v>
      </c>
      <c r="B47" s="156"/>
      <c r="C47" s="156"/>
      <c r="D47" s="156"/>
      <c r="E47" s="156"/>
      <c r="F47" s="156"/>
      <c r="G47" s="156"/>
      <c r="H47" s="156"/>
      <c r="I47" s="156"/>
      <c r="J47" s="156"/>
    </row>
    <row r="48" spans="1:10" ht="12.75" customHeight="1">
      <c r="A48" s="156"/>
      <c r="B48" s="156"/>
      <c r="C48" s="156"/>
      <c r="D48" s="156"/>
      <c r="E48" s="156"/>
      <c r="F48" s="156"/>
      <c r="G48" s="156"/>
      <c r="H48" s="156"/>
      <c r="I48" s="156"/>
      <c r="J48" s="156"/>
    </row>
    <row r="49" spans="1:11" ht="12.75" customHeight="1">
      <c r="A49" s="156"/>
      <c r="B49" s="156"/>
      <c r="C49" s="156"/>
      <c r="D49" s="156"/>
      <c r="E49" s="156"/>
      <c r="F49" s="156"/>
      <c r="G49" s="156"/>
      <c r="H49" s="156"/>
      <c r="I49" s="156"/>
      <c r="J49" s="156"/>
    </row>
    <row r="50" spans="1:11" ht="12.75" customHeight="1">
      <c r="A50" s="156"/>
      <c r="B50" s="156"/>
      <c r="C50" s="156"/>
      <c r="D50" s="156"/>
      <c r="E50" s="156"/>
      <c r="F50" s="156"/>
      <c r="G50" s="156"/>
      <c r="H50" s="156"/>
      <c r="I50" s="156"/>
      <c r="J50" s="156"/>
    </row>
    <row r="51" spans="1:11" ht="12.75" customHeight="1">
      <c r="A51" s="156"/>
      <c r="B51" s="156"/>
      <c r="C51" s="156"/>
      <c r="D51" s="156"/>
      <c r="E51" s="156"/>
      <c r="F51" s="156"/>
      <c r="G51" s="156"/>
      <c r="H51" s="156"/>
      <c r="I51" s="156"/>
      <c r="J51" s="156"/>
    </row>
    <row r="52" spans="1:11" ht="12.75" hidden="1" customHeight="1">
      <c r="A52" s="156"/>
      <c r="B52" s="156"/>
      <c r="C52" s="156"/>
      <c r="D52" s="156"/>
      <c r="E52" s="156"/>
      <c r="F52" s="156"/>
      <c r="G52" s="156"/>
      <c r="H52" s="156"/>
      <c r="I52" s="156"/>
      <c r="J52" s="156"/>
    </row>
    <row r="53" spans="1:11" ht="12.75" hidden="1" customHeight="1">
      <c r="A53" s="156"/>
      <c r="B53" s="156"/>
      <c r="C53" s="156"/>
      <c r="D53" s="156"/>
      <c r="E53" s="156"/>
      <c r="F53" s="156"/>
      <c r="G53" s="156"/>
      <c r="H53" s="156"/>
      <c r="I53" s="156"/>
      <c r="J53" s="156"/>
    </row>
    <row r="54" spans="1:11" ht="12.75" hidden="1" customHeight="1">
      <c r="A54" s="156"/>
      <c r="B54" s="156"/>
      <c r="C54" s="156"/>
      <c r="D54" s="156"/>
      <c r="E54" s="156"/>
      <c r="F54" s="156"/>
      <c r="G54" s="156"/>
      <c r="H54" s="156"/>
      <c r="I54" s="156"/>
      <c r="J54" s="156"/>
    </row>
    <row r="55" spans="1:11" ht="6" hidden="1" customHeight="1">
      <c r="A55" s="156"/>
      <c r="B55" s="156"/>
      <c r="C55" s="156"/>
      <c r="D55" s="156"/>
      <c r="E55" s="156"/>
      <c r="F55" s="156"/>
      <c r="G55" s="156"/>
      <c r="H55" s="156"/>
      <c r="I55" s="156"/>
      <c r="J55" s="156"/>
    </row>
    <row r="56" spans="1:11" ht="31.5" customHeight="1">
      <c r="A56" s="156"/>
      <c r="B56" s="156"/>
      <c r="C56" s="156"/>
      <c r="D56" s="156"/>
      <c r="E56" s="156"/>
      <c r="F56" s="156"/>
      <c r="G56" s="156"/>
      <c r="H56" s="156"/>
      <c r="I56" s="156"/>
      <c r="J56" s="156"/>
    </row>
    <row r="57" spans="1:11" ht="12.75" customHeight="1">
      <c r="A57" s="175"/>
      <c r="B57" s="156"/>
      <c r="C57" s="156"/>
      <c r="D57" s="156"/>
      <c r="E57" s="156"/>
      <c r="F57" s="156"/>
      <c r="G57" s="156"/>
      <c r="H57" s="156"/>
      <c r="I57" s="156"/>
      <c r="J57" s="156"/>
      <c r="K57" s="156"/>
    </row>
    <row r="58" spans="1:11" ht="12.75" customHeight="1">
      <c r="A58" s="156"/>
      <c r="B58" s="156"/>
      <c r="C58" s="156"/>
      <c r="D58" s="156"/>
      <c r="E58" s="156"/>
      <c r="F58" s="156"/>
      <c r="G58" s="156"/>
      <c r="H58" s="156"/>
      <c r="I58" s="156"/>
      <c r="J58" s="156"/>
      <c r="K58" s="156"/>
    </row>
    <row r="59" spans="1:11" ht="12.75" customHeight="1">
      <c r="A59" s="22"/>
      <c r="B59" s="22"/>
      <c r="C59" s="22"/>
      <c r="D59" s="22"/>
      <c r="E59" s="22"/>
      <c r="F59" s="22"/>
      <c r="G59" s="22"/>
      <c r="H59" s="22"/>
      <c r="I59" s="22"/>
      <c r="J59" s="22"/>
      <c r="K59" s="22"/>
    </row>
    <row r="60" spans="1:11" ht="12.75" customHeight="1">
      <c r="A60" s="22"/>
      <c r="B60" s="22"/>
      <c r="C60" s="22"/>
      <c r="D60" s="22"/>
      <c r="E60" s="22"/>
      <c r="F60" s="22"/>
      <c r="G60" s="22"/>
      <c r="H60" s="22"/>
      <c r="I60" s="22"/>
      <c r="J60" s="22"/>
    </row>
    <row r="61" spans="1:11" ht="12.75" customHeight="1">
      <c r="A61" s="22"/>
      <c r="B61" s="22"/>
      <c r="C61" s="22"/>
      <c r="D61" s="22"/>
      <c r="E61" s="22"/>
      <c r="F61" s="22"/>
      <c r="G61" s="22"/>
      <c r="H61" s="22"/>
      <c r="I61" s="22"/>
      <c r="J61" s="22"/>
    </row>
    <row r="62" spans="1:11" ht="12.75" customHeight="1">
      <c r="A62" s="22"/>
      <c r="B62" s="22"/>
      <c r="C62" s="22"/>
      <c r="D62" s="22"/>
      <c r="E62" s="22"/>
      <c r="F62" s="22"/>
      <c r="G62" s="22"/>
      <c r="H62" s="22"/>
      <c r="I62" s="22"/>
      <c r="J62" s="22"/>
    </row>
    <row r="63" spans="1:11" ht="12.75" customHeight="1">
      <c r="A63" s="22"/>
      <c r="B63" s="22"/>
      <c r="C63" s="22"/>
      <c r="D63" s="22"/>
      <c r="E63" s="22"/>
      <c r="F63" s="22"/>
      <c r="G63" s="22"/>
      <c r="H63" s="22"/>
      <c r="I63" s="22"/>
      <c r="J63" s="22"/>
    </row>
    <row r="64" spans="1:11" ht="12.75" customHeight="1">
      <c r="I64" s="247"/>
      <c r="J64" s="156"/>
    </row>
    <row r="65" spans="1:10" ht="15.75" customHeight="1">
      <c r="A65" s="207" t="s">
        <v>65</v>
      </c>
      <c r="B65" s="152"/>
      <c r="C65" s="152"/>
      <c r="D65" s="152"/>
      <c r="E65" s="152"/>
      <c r="F65" s="152"/>
      <c r="G65" s="181"/>
      <c r="H65" s="208" t="str">
        <f>'CONTACT INFORMATION'!$A$24</f>
        <v>Humboldt</v>
      </c>
      <c r="I65" s="152"/>
      <c r="J65" s="153"/>
    </row>
    <row r="66" spans="1:10" ht="12" customHeight="1">
      <c r="A66" s="100"/>
      <c r="B66" s="100"/>
      <c r="C66" s="100"/>
      <c r="D66" s="100"/>
      <c r="E66" s="100"/>
      <c r="F66" s="100"/>
      <c r="G66" s="100"/>
      <c r="H66" s="100"/>
      <c r="I66" s="100"/>
      <c r="J66" s="100"/>
    </row>
    <row r="67" spans="1:10" ht="12.75" customHeight="1">
      <c r="B67" s="248" t="s">
        <v>130</v>
      </c>
      <c r="C67" s="156"/>
      <c r="D67" s="156"/>
      <c r="E67" s="156"/>
      <c r="F67" s="156"/>
      <c r="G67" s="156"/>
      <c r="H67" s="156"/>
      <c r="I67" s="156"/>
      <c r="J67" s="102"/>
    </row>
    <row r="68" spans="1:10" ht="12.75" customHeight="1">
      <c r="A68" s="102"/>
      <c r="B68" s="156"/>
      <c r="C68" s="156"/>
      <c r="D68" s="156"/>
      <c r="E68" s="156"/>
      <c r="F68" s="156"/>
      <c r="G68" s="156"/>
      <c r="H68" s="156"/>
      <c r="I68" s="156"/>
      <c r="J68" s="102"/>
    </row>
    <row r="69" spans="1:10" ht="12.75" customHeight="1">
      <c r="A69" s="102"/>
      <c r="B69" s="156"/>
      <c r="C69" s="156"/>
      <c r="D69" s="156"/>
      <c r="E69" s="156"/>
      <c r="F69" s="156"/>
      <c r="G69" s="156"/>
      <c r="H69" s="156"/>
      <c r="I69" s="156"/>
      <c r="J69" s="102"/>
    </row>
    <row r="70" spans="1:10" ht="12.75" customHeight="1">
      <c r="A70" s="102"/>
      <c r="B70" s="101"/>
      <c r="C70" s="101"/>
      <c r="D70" s="101"/>
      <c r="E70" s="101"/>
      <c r="F70" s="101"/>
      <c r="G70" s="101"/>
      <c r="H70" s="101"/>
      <c r="I70" s="101"/>
      <c r="J70" s="101"/>
    </row>
    <row r="71" spans="1:10" ht="12.75" customHeight="1">
      <c r="A71" s="102"/>
      <c r="B71" s="248" t="s">
        <v>131</v>
      </c>
      <c r="C71" s="156"/>
      <c r="D71" s="156"/>
      <c r="E71" s="156"/>
      <c r="F71" s="156"/>
      <c r="G71" s="156"/>
      <c r="H71" s="156"/>
      <c r="I71" s="156"/>
      <c r="J71" s="102"/>
    </row>
    <row r="72" spans="1:10" ht="12.75" customHeight="1">
      <c r="A72" s="102"/>
      <c r="B72" s="156"/>
      <c r="C72" s="156"/>
      <c r="D72" s="156"/>
      <c r="E72" s="156"/>
      <c r="F72" s="156"/>
      <c r="G72" s="156"/>
      <c r="H72" s="156"/>
      <c r="I72" s="156"/>
      <c r="J72" s="102"/>
    </row>
    <row r="73" spans="1:10" ht="12.75" customHeight="1">
      <c r="A73" s="102"/>
      <c r="B73" s="156"/>
      <c r="C73" s="156"/>
      <c r="D73" s="156"/>
      <c r="E73" s="156"/>
      <c r="F73" s="156"/>
      <c r="G73" s="156"/>
      <c r="H73" s="156"/>
      <c r="I73" s="156"/>
      <c r="J73" s="102"/>
    </row>
    <row r="74" spans="1:10" ht="12.75" customHeight="1">
      <c r="A74" s="102"/>
      <c r="B74" s="156"/>
      <c r="C74" s="156"/>
      <c r="D74" s="156"/>
      <c r="E74" s="156"/>
      <c r="F74" s="156"/>
      <c r="G74" s="156"/>
      <c r="H74" s="156"/>
      <c r="I74" s="156"/>
      <c r="J74" s="102"/>
    </row>
    <row r="75" spans="1:10" ht="12.75" customHeight="1">
      <c r="A75" s="102"/>
      <c r="B75" s="156"/>
      <c r="C75" s="156"/>
      <c r="D75" s="156"/>
      <c r="E75" s="156"/>
      <c r="F75" s="156"/>
      <c r="G75" s="156"/>
      <c r="H75" s="156"/>
      <c r="I75" s="156"/>
      <c r="J75" s="101"/>
    </row>
    <row r="76" spans="1:10" ht="12.75" customHeight="1">
      <c r="A76" s="102"/>
      <c r="B76" s="101"/>
      <c r="C76" s="101"/>
      <c r="D76" s="101"/>
      <c r="E76" s="101"/>
      <c r="F76" s="101"/>
      <c r="G76" s="101"/>
      <c r="H76" s="101"/>
      <c r="I76" s="101"/>
      <c r="J76" s="101"/>
    </row>
    <row r="77" spans="1:10" ht="12.75" customHeight="1">
      <c r="B77" s="248" t="s">
        <v>132</v>
      </c>
      <c r="C77" s="156"/>
      <c r="D77" s="156"/>
      <c r="E77" s="156"/>
      <c r="F77" s="156"/>
      <c r="G77" s="156"/>
      <c r="H77" s="156"/>
      <c r="I77" s="156"/>
      <c r="J77" s="102"/>
    </row>
    <row r="78" spans="1:10" ht="12.75" customHeight="1">
      <c r="B78" s="156"/>
      <c r="C78" s="156"/>
      <c r="D78" s="156"/>
      <c r="E78" s="156"/>
      <c r="F78" s="156"/>
      <c r="G78" s="156"/>
      <c r="H78" s="156"/>
      <c r="I78" s="156"/>
      <c r="J78" s="102"/>
    </row>
    <row r="79" spans="1:10" ht="12.75" customHeight="1">
      <c r="B79" s="156"/>
      <c r="C79" s="156"/>
      <c r="D79" s="156"/>
      <c r="E79" s="156"/>
      <c r="F79" s="156"/>
      <c r="G79" s="156"/>
      <c r="H79" s="156"/>
      <c r="I79" s="156"/>
      <c r="J79" s="101"/>
    </row>
    <row r="80" spans="1:10" ht="12.75" customHeight="1">
      <c r="B80" s="101"/>
      <c r="C80" s="101"/>
      <c r="D80" s="101"/>
      <c r="E80" s="101"/>
      <c r="F80" s="101"/>
      <c r="G80" s="101"/>
      <c r="H80" s="101"/>
      <c r="I80" s="101"/>
      <c r="J80" s="101"/>
    </row>
    <row r="81" spans="1:10" ht="12.75" customHeight="1">
      <c r="B81" s="249" t="s">
        <v>133</v>
      </c>
      <c r="C81" s="156"/>
      <c r="D81" s="156"/>
      <c r="E81" s="156"/>
      <c r="F81" s="156"/>
      <c r="G81" s="156"/>
      <c r="H81" s="156"/>
      <c r="I81" s="156"/>
      <c r="J81" s="102"/>
    </row>
    <row r="82" spans="1:10" ht="12.75" customHeight="1">
      <c r="B82" s="156"/>
      <c r="C82" s="156"/>
      <c r="D82" s="156"/>
      <c r="E82" s="156"/>
      <c r="F82" s="156"/>
      <c r="G82" s="156"/>
      <c r="H82" s="156"/>
      <c r="I82" s="156"/>
      <c r="J82" s="102"/>
    </row>
    <row r="83" spans="1:10" ht="12.75" customHeight="1">
      <c r="B83" s="156"/>
      <c r="C83" s="156"/>
      <c r="D83" s="156"/>
      <c r="E83" s="156"/>
      <c r="F83" s="156"/>
      <c r="G83" s="156"/>
      <c r="H83" s="156"/>
      <c r="I83" s="156"/>
      <c r="J83" s="102"/>
    </row>
    <row r="84" spans="1:10" ht="12.75" customHeight="1">
      <c r="B84" s="156"/>
      <c r="C84" s="156"/>
      <c r="D84" s="156"/>
      <c r="E84" s="156"/>
      <c r="F84" s="156"/>
      <c r="G84" s="156"/>
      <c r="H84" s="156"/>
      <c r="I84" s="156"/>
      <c r="J84" s="101"/>
    </row>
    <row r="85" spans="1:10" ht="12.75" customHeight="1">
      <c r="B85" s="101"/>
      <c r="C85" s="101"/>
      <c r="D85" s="101"/>
      <c r="E85" s="101"/>
      <c r="F85" s="101"/>
      <c r="G85" s="101"/>
      <c r="H85" s="101"/>
      <c r="I85" s="101"/>
      <c r="J85" s="101"/>
    </row>
    <row r="86" spans="1:10" ht="12.75" customHeight="1">
      <c r="B86" s="248" t="s">
        <v>134</v>
      </c>
      <c r="C86" s="156"/>
      <c r="D86" s="156"/>
      <c r="E86" s="156"/>
      <c r="F86" s="156"/>
      <c r="G86" s="156"/>
      <c r="H86" s="156"/>
      <c r="I86" s="156"/>
      <c r="J86" s="100"/>
    </row>
    <row r="87" spans="1:10" ht="12.75" customHeight="1">
      <c r="B87" s="156"/>
      <c r="C87" s="156"/>
      <c r="D87" s="156"/>
      <c r="E87" s="156"/>
      <c r="F87" s="156"/>
      <c r="G87" s="156"/>
      <c r="H87" s="156"/>
      <c r="I87" s="156"/>
      <c r="J87" s="100"/>
    </row>
    <row r="88" spans="1:10" ht="12.75" customHeight="1">
      <c r="B88" s="156"/>
      <c r="C88" s="156"/>
      <c r="D88" s="156"/>
      <c r="E88" s="156"/>
      <c r="F88" s="156"/>
      <c r="G88" s="156"/>
      <c r="H88" s="156"/>
      <c r="I88" s="156"/>
      <c r="J88" s="100"/>
    </row>
    <row r="89" spans="1:10" ht="12.75" customHeight="1">
      <c r="B89" s="22"/>
      <c r="C89" s="22"/>
      <c r="D89" s="22"/>
      <c r="E89" s="22"/>
      <c r="F89" s="22"/>
      <c r="G89" s="22"/>
      <c r="H89" s="22"/>
      <c r="I89" s="22"/>
      <c r="J89" s="22"/>
    </row>
    <row r="90" spans="1:10" ht="12.75" customHeight="1">
      <c r="B90" s="248" t="s">
        <v>135</v>
      </c>
      <c r="C90" s="156"/>
      <c r="D90" s="156"/>
      <c r="E90" s="156"/>
      <c r="F90" s="156"/>
      <c r="G90" s="156"/>
      <c r="H90" s="156"/>
      <c r="I90" s="156"/>
      <c r="J90" s="100"/>
    </row>
    <row r="91" spans="1:10" ht="24.75" customHeight="1">
      <c r="B91" s="156"/>
      <c r="C91" s="156"/>
      <c r="D91" s="156"/>
      <c r="E91" s="156"/>
      <c r="F91" s="156"/>
      <c r="G91" s="156"/>
      <c r="H91" s="156"/>
      <c r="I91" s="156"/>
      <c r="J91" s="100"/>
    </row>
    <row r="92" spans="1:10" ht="9" customHeight="1"/>
    <row r="93" spans="1:10" ht="4.5" customHeight="1"/>
    <row r="94" spans="1:10" ht="12.75" customHeight="1">
      <c r="A94" s="250" t="s">
        <v>136</v>
      </c>
      <c r="B94" s="156"/>
      <c r="C94" s="156"/>
      <c r="D94" s="156"/>
      <c r="E94" s="156"/>
      <c r="F94" s="156"/>
      <c r="G94" s="156"/>
      <c r="H94" s="156"/>
      <c r="I94" s="156"/>
      <c r="J94" s="156"/>
    </row>
    <row r="95" spans="1:10" ht="12.75" customHeight="1">
      <c r="A95" s="156"/>
      <c r="B95" s="156"/>
      <c r="C95" s="156"/>
      <c r="D95" s="156"/>
      <c r="E95" s="156"/>
      <c r="F95" s="156"/>
      <c r="G95" s="156"/>
      <c r="H95" s="156"/>
      <c r="I95" s="156"/>
      <c r="J95" s="156"/>
    </row>
    <row r="96" spans="1:10" ht="12.75" customHeight="1">
      <c r="A96" s="156"/>
      <c r="B96" s="156"/>
      <c r="C96" s="156"/>
      <c r="D96" s="156"/>
      <c r="E96" s="156"/>
      <c r="F96" s="156"/>
      <c r="G96" s="156"/>
      <c r="H96" s="156"/>
      <c r="I96" s="156"/>
      <c r="J96" s="156"/>
    </row>
    <row r="97" spans="1:11" ht="12.75" hidden="1" customHeight="1">
      <c r="A97" s="156"/>
      <c r="B97" s="156"/>
      <c r="C97" s="156"/>
      <c r="D97" s="156"/>
      <c r="E97" s="156"/>
      <c r="F97" s="156"/>
      <c r="G97" s="156"/>
      <c r="H97" s="156"/>
      <c r="I97" s="156"/>
      <c r="J97" s="156"/>
    </row>
    <row r="98" spans="1:11" ht="12.75" hidden="1" customHeight="1">
      <c r="A98" s="156"/>
      <c r="B98" s="156"/>
      <c r="C98" s="156"/>
      <c r="D98" s="156"/>
      <c r="E98" s="156"/>
      <c r="F98" s="156"/>
      <c r="G98" s="156"/>
      <c r="H98" s="156"/>
      <c r="I98" s="156"/>
      <c r="J98" s="156"/>
    </row>
    <row r="99" spans="1:11" ht="12.75" hidden="1" customHeight="1">
      <c r="A99" s="156"/>
      <c r="B99" s="156"/>
      <c r="C99" s="156"/>
      <c r="D99" s="156"/>
      <c r="E99" s="156"/>
      <c r="F99" s="156"/>
      <c r="G99" s="156"/>
      <c r="H99" s="156"/>
      <c r="I99" s="156"/>
      <c r="J99" s="156"/>
    </row>
    <row r="100" spans="1:11" ht="12.75" hidden="1" customHeight="1">
      <c r="A100" s="156"/>
      <c r="B100" s="156"/>
      <c r="C100" s="156"/>
      <c r="D100" s="156"/>
      <c r="E100" s="156"/>
      <c r="F100" s="156"/>
      <c r="G100" s="156"/>
      <c r="H100" s="156"/>
      <c r="I100" s="156"/>
      <c r="J100" s="156"/>
    </row>
    <row r="101" spans="1:11" ht="4.5" customHeight="1">
      <c r="A101" s="156"/>
      <c r="B101" s="156"/>
      <c r="C101" s="156"/>
      <c r="D101" s="156"/>
      <c r="E101" s="156"/>
      <c r="F101" s="156"/>
      <c r="G101" s="156"/>
      <c r="H101" s="156"/>
      <c r="I101" s="156"/>
      <c r="J101" s="156"/>
    </row>
    <row r="102" spans="1:11" ht="7.5" customHeight="1">
      <c r="A102" s="100"/>
      <c r="B102" s="100"/>
      <c r="C102" s="100"/>
      <c r="D102" s="100"/>
      <c r="E102" s="100"/>
      <c r="F102" s="100"/>
      <c r="G102" s="100"/>
      <c r="H102" s="100"/>
      <c r="I102" s="100"/>
      <c r="J102" s="100"/>
    </row>
    <row r="103" spans="1:11" ht="12.75" customHeight="1">
      <c r="A103" s="250" t="s">
        <v>137</v>
      </c>
      <c r="B103" s="156"/>
      <c r="C103" s="156"/>
      <c r="D103" s="156"/>
      <c r="E103" s="156"/>
      <c r="F103" s="156"/>
      <c r="G103" s="156"/>
      <c r="H103" s="156"/>
      <c r="I103" s="156"/>
      <c r="J103" s="156"/>
    </row>
    <row r="104" spans="1:11" ht="12.75" customHeight="1">
      <c r="A104" s="156"/>
      <c r="B104" s="156"/>
      <c r="C104" s="156"/>
      <c r="D104" s="156"/>
      <c r="E104" s="156"/>
      <c r="F104" s="156"/>
      <c r="G104" s="156"/>
      <c r="H104" s="156"/>
      <c r="I104" s="156"/>
      <c r="J104" s="156"/>
    </row>
    <row r="105" spans="1:11" ht="12.75" customHeight="1">
      <c r="A105" s="156"/>
      <c r="B105" s="156"/>
      <c r="C105" s="156"/>
      <c r="D105" s="156"/>
      <c r="E105" s="156"/>
      <c r="F105" s="156"/>
      <c r="G105" s="156"/>
      <c r="H105" s="156"/>
      <c r="I105" s="156"/>
      <c r="J105" s="156"/>
    </row>
    <row r="106" spans="1:11" ht="12.75" customHeight="1">
      <c r="A106" s="100"/>
      <c r="B106" s="100"/>
      <c r="C106" s="100"/>
      <c r="D106" s="100"/>
      <c r="E106" s="100"/>
      <c r="F106" s="100"/>
      <c r="G106" s="100"/>
      <c r="H106" s="100"/>
      <c r="I106" s="100"/>
      <c r="J106" s="100"/>
    </row>
    <row r="107" spans="1:11" ht="20.25" customHeight="1">
      <c r="A107" s="175" t="s">
        <v>138</v>
      </c>
      <c r="B107" s="156"/>
      <c r="C107" s="156"/>
      <c r="D107" s="156"/>
      <c r="E107" s="156"/>
      <c r="F107" s="156"/>
      <c r="G107" s="156"/>
      <c r="H107" s="156"/>
      <c r="I107" s="156"/>
      <c r="J107" s="156"/>
      <c r="K107" s="156"/>
    </row>
    <row r="108" spans="1:11" ht="12.75" customHeight="1">
      <c r="A108" s="100"/>
      <c r="B108" s="100"/>
      <c r="C108" s="100"/>
      <c r="D108" s="100"/>
      <c r="E108" s="100"/>
      <c r="F108" s="100"/>
      <c r="G108" s="100"/>
      <c r="H108" s="100"/>
      <c r="I108" s="100"/>
      <c r="J108" s="100"/>
    </row>
    <row r="109" spans="1:11" ht="12.75" customHeight="1">
      <c r="A109" s="100"/>
      <c r="B109" s="100"/>
      <c r="C109" s="100"/>
      <c r="D109" s="100"/>
      <c r="E109" s="100"/>
      <c r="F109" s="100"/>
      <c r="G109" s="100"/>
      <c r="H109" s="100"/>
      <c r="I109" s="100"/>
      <c r="J109" s="100"/>
    </row>
    <row r="110" spans="1:11" ht="12.75" customHeight="1">
      <c r="A110" s="100"/>
      <c r="B110" s="100"/>
      <c r="C110" s="100"/>
      <c r="D110" s="100"/>
      <c r="E110" s="100"/>
      <c r="F110" s="100"/>
      <c r="G110" s="100"/>
      <c r="H110" s="100"/>
      <c r="I110" s="100"/>
      <c r="J110" s="100"/>
    </row>
    <row r="111" spans="1:11" ht="12.75" customHeight="1">
      <c r="A111" s="100"/>
      <c r="B111" s="100"/>
      <c r="C111" s="100"/>
      <c r="D111" s="100"/>
      <c r="E111" s="100"/>
      <c r="F111" s="100"/>
      <c r="G111" s="100"/>
      <c r="H111" s="100"/>
      <c r="I111" s="100"/>
      <c r="J111" s="100"/>
    </row>
    <row r="112" spans="1:11" ht="12.75" customHeight="1">
      <c r="A112" s="100"/>
      <c r="B112" s="100"/>
      <c r="C112" s="100"/>
      <c r="D112" s="100"/>
      <c r="E112" s="100"/>
      <c r="F112" s="100"/>
      <c r="G112" s="100"/>
      <c r="H112" s="100"/>
      <c r="I112" s="100"/>
      <c r="J112" s="100"/>
    </row>
    <row r="113" spans="1:12" ht="12.75" customHeight="1">
      <c r="A113" s="100"/>
      <c r="B113" s="100"/>
      <c r="C113" s="100"/>
      <c r="D113" s="100"/>
      <c r="E113" s="100"/>
      <c r="F113" s="100"/>
      <c r="G113" s="100"/>
      <c r="H113" s="100"/>
      <c r="I113" s="100"/>
      <c r="J113" s="100"/>
    </row>
    <row r="114" spans="1:12" ht="12.75" customHeight="1">
      <c r="A114" s="100"/>
      <c r="B114" s="100"/>
      <c r="C114" s="100"/>
      <c r="D114" s="100"/>
      <c r="E114" s="100"/>
      <c r="F114" s="100"/>
      <c r="G114" s="100"/>
      <c r="H114" s="100"/>
      <c r="I114" s="100"/>
      <c r="J114" s="100"/>
    </row>
    <row r="115" spans="1:12" ht="12.75" customHeight="1">
      <c r="A115" s="100"/>
      <c r="B115" s="100"/>
      <c r="C115" s="100"/>
      <c r="D115" s="100"/>
      <c r="E115" s="100"/>
      <c r="F115" s="100"/>
      <c r="G115" s="100"/>
      <c r="H115" s="100"/>
      <c r="I115" s="100"/>
      <c r="J115" s="100"/>
    </row>
    <row r="116" spans="1:12" ht="12.75" customHeight="1">
      <c r="A116" s="100"/>
      <c r="B116" s="100"/>
      <c r="C116" s="100"/>
      <c r="D116" s="100"/>
      <c r="E116" s="100"/>
      <c r="F116" s="100"/>
      <c r="G116" s="100"/>
      <c r="H116" s="100"/>
      <c r="I116" s="100"/>
      <c r="J116" s="100"/>
    </row>
    <row r="117" spans="1:12" ht="12.75" customHeight="1">
      <c r="A117" s="100"/>
      <c r="B117" s="100"/>
      <c r="C117" s="100"/>
      <c r="D117" s="100"/>
      <c r="E117" s="100"/>
      <c r="F117" s="100"/>
      <c r="G117" s="100"/>
      <c r="H117" s="100"/>
      <c r="I117" s="100"/>
      <c r="J117" s="100"/>
    </row>
    <row r="118" spans="1:12" ht="12.75" customHeight="1">
      <c r="A118" s="100"/>
      <c r="B118" s="100"/>
      <c r="C118" s="100"/>
      <c r="D118" s="100"/>
      <c r="E118" s="100"/>
      <c r="F118" s="100"/>
      <c r="G118" s="100"/>
      <c r="H118" s="100"/>
      <c r="I118" s="100"/>
      <c r="J118" s="100"/>
    </row>
    <row r="119" spans="1:12" ht="12.75" customHeight="1">
      <c r="A119" s="100"/>
      <c r="B119" s="100"/>
      <c r="C119" s="100"/>
      <c r="D119" s="100"/>
      <c r="E119" s="100"/>
      <c r="F119" s="100"/>
      <c r="G119" s="100"/>
      <c r="H119" s="100"/>
      <c r="I119" s="100"/>
      <c r="J119" s="100"/>
    </row>
    <row r="120" spans="1:12" ht="12.75" customHeight="1">
      <c r="A120" s="100"/>
      <c r="B120" s="100"/>
      <c r="C120" s="100"/>
      <c r="D120" s="100"/>
      <c r="E120" s="100"/>
      <c r="F120" s="100"/>
      <c r="G120" s="100"/>
      <c r="H120" s="100"/>
      <c r="I120" s="100"/>
      <c r="J120" s="100"/>
    </row>
    <row r="121" spans="1:12" ht="12.75" customHeight="1">
      <c r="A121" s="100"/>
      <c r="B121" s="100"/>
      <c r="C121" s="100"/>
      <c r="D121" s="100"/>
      <c r="E121" s="100"/>
      <c r="F121" s="100"/>
      <c r="G121" s="100"/>
      <c r="H121" s="100"/>
      <c r="I121" s="100"/>
      <c r="J121" s="100"/>
    </row>
    <row r="122" spans="1:12" ht="12.75" customHeight="1">
      <c r="A122" s="100"/>
      <c r="B122" s="100"/>
      <c r="C122" s="100"/>
      <c r="D122" s="100"/>
      <c r="E122" s="100"/>
      <c r="F122" s="100"/>
      <c r="G122" s="100"/>
      <c r="H122" s="100"/>
      <c r="I122" s="100"/>
      <c r="J122" s="100"/>
    </row>
    <row r="123" spans="1:12" ht="12.75" customHeight="1">
      <c r="A123" s="100"/>
      <c r="B123" s="100"/>
      <c r="C123" s="100"/>
      <c r="D123" s="100"/>
      <c r="E123" s="100"/>
      <c r="F123" s="100"/>
      <c r="G123" s="100"/>
      <c r="H123" s="100"/>
      <c r="I123" s="100"/>
      <c r="J123" s="100"/>
    </row>
    <row r="124" spans="1:12" ht="12.75" customHeight="1">
      <c r="A124" s="100"/>
      <c r="B124" s="100"/>
      <c r="C124" s="100"/>
      <c r="D124" s="100"/>
      <c r="E124" s="100"/>
      <c r="F124" s="100"/>
      <c r="G124" s="100"/>
      <c r="H124" s="100"/>
      <c r="I124" s="100"/>
      <c r="J124" s="100"/>
    </row>
    <row r="125" spans="1:12" ht="12.75" customHeight="1">
      <c r="A125" s="207" t="s">
        <v>65</v>
      </c>
      <c r="B125" s="152"/>
      <c r="C125" s="152"/>
      <c r="D125" s="152"/>
      <c r="E125" s="152"/>
      <c r="F125" s="152"/>
      <c r="G125" s="181"/>
      <c r="H125" s="208" t="str">
        <f>'CONTACT INFORMATION'!$A$24</f>
        <v>Humboldt</v>
      </c>
      <c r="I125" s="152"/>
      <c r="J125" s="153"/>
      <c r="K125" s="58"/>
      <c r="L125" s="58"/>
    </row>
    <row r="126" spans="1:12" ht="8.25" customHeight="1">
      <c r="A126" s="66"/>
      <c r="B126" s="66"/>
      <c r="C126" s="66"/>
      <c r="D126" s="66"/>
      <c r="E126" s="66"/>
      <c r="F126" s="66"/>
      <c r="G126" s="66"/>
      <c r="H126" s="66"/>
      <c r="I126" s="66"/>
      <c r="J126" s="66"/>
      <c r="K126" s="58"/>
      <c r="L126" s="58"/>
    </row>
    <row r="127" spans="1:12" ht="12.75" customHeight="1">
      <c r="A127" s="251" t="s">
        <v>139</v>
      </c>
      <c r="B127" s="152"/>
      <c r="C127" s="152"/>
      <c r="D127" s="152"/>
      <c r="E127" s="152"/>
      <c r="F127" s="152"/>
      <c r="G127" s="152"/>
      <c r="H127" s="152"/>
      <c r="I127" s="152"/>
      <c r="J127" s="153"/>
    </row>
    <row r="128" spans="1:12" ht="12.75" customHeight="1">
      <c r="A128" s="252" t="s">
        <v>140</v>
      </c>
      <c r="B128" s="163"/>
      <c r="C128" s="163"/>
      <c r="D128" s="164"/>
      <c r="E128" s="253" t="s">
        <v>965</v>
      </c>
      <c r="F128" s="197"/>
      <c r="G128" s="197"/>
      <c r="H128" s="197"/>
      <c r="I128" s="197"/>
      <c r="J128" s="198"/>
    </row>
    <row r="129" spans="1:16" ht="12.75" customHeight="1">
      <c r="A129" s="254" t="s">
        <v>141</v>
      </c>
      <c r="B129" s="149"/>
      <c r="C129" s="149"/>
      <c r="D129" s="150"/>
      <c r="E129" s="199"/>
      <c r="F129" s="167"/>
      <c r="G129" s="167"/>
      <c r="H129" s="167"/>
      <c r="I129" s="167"/>
      <c r="J129" s="168"/>
    </row>
    <row r="130" spans="1:16" ht="12.75" customHeight="1">
      <c r="A130" s="259" t="s">
        <v>142</v>
      </c>
      <c r="B130" s="152"/>
      <c r="C130" s="152"/>
      <c r="D130" s="153"/>
      <c r="E130" s="221" t="s">
        <v>117</v>
      </c>
      <c r="F130" s="152"/>
      <c r="G130" s="152"/>
      <c r="H130" s="152"/>
      <c r="I130" s="152"/>
      <c r="J130" s="153"/>
    </row>
    <row r="131" spans="1:16" ht="27" customHeight="1">
      <c r="A131" s="53"/>
      <c r="B131" s="55"/>
      <c r="C131" s="55"/>
      <c r="D131" s="55"/>
      <c r="E131" s="255" t="s">
        <v>143</v>
      </c>
      <c r="F131" s="167"/>
      <c r="G131" s="255" t="s">
        <v>144</v>
      </c>
      <c r="H131" s="167"/>
      <c r="I131" s="256" t="s">
        <v>145</v>
      </c>
      <c r="J131" s="168"/>
    </row>
    <row r="132" spans="1:16" ht="12.75" customHeight="1">
      <c r="A132" s="220" t="s">
        <v>146</v>
      </c>
      <c r="B132" s="152"/>
      <c r="C132" s="152"/>
      <c r="D132" s="153"/>
      <c r="E132" s="238">
        <f>549288-260464</f>
        <v>288824</v>
      </c>
      <c r="F132" s="238"/>
      <c r="G132" s="239">
        <v>0</v>
      </c>
      <c r="H132" s="153"/>
      <c r="I132" s="240">
        <v>0</v>
      </c>
      <c r="J132" s="153"/>
    </row>
    <row r="133" spans="1:16" ht="12.75" customHeight="1">
      <c r="A133" s="241" t="s">
        <v>147</v>
      </c>
      <c r="B133" s="152"/>
      <c r="C133" s="152"/>
      <c r="D133" s="153"/>
      <c r="E133" s="242">
        <f>122228-121735</f>
        <v>493</v>
      </c>
      <c r="F133" s="242"/>
      <c r="G133" s="257">
        <v>0</v>
      </c>
      <c r="H133" s="153"/>
      <c r="I133" s="258">
        <v>0</v>
      </c>
      <c r="J133" s="153"/>
    </row>
    <row r="134" spans="1:16" ht="12.75" customHeight="1">
      <c r="A134" s="220" t="s">
        <v>148</v>
      </c>
      <c r="B134" s="152"/>
      <c r="C134" s="152"/>
      <c r="D134" s="153"/>
      <c r="E134" s="238">
        <v>0</v>
      </c>
      <c r="F134" s="238"/>
      <c r="G134" s="239">
        <v>0</v>
      </c>
      <c r="H134" s="153"/>
      <c r="I134" s="240">
        <v>0</v>
      </c>
      <c r="J134" s="153"/>
    </row>
    <row r="135" spans="1:16" ht="12.75" customHeight="1">
      <c r="A135" s="241" t="s">
        <v>149</v>
      </c>
      <c r="B135" s="152"/>
      <c r="C135" s="152"/>
      <c r="D135" s="153"/>
      <c r="E135" s="242"/>
      <c r="F135" s="242"/>
      <c r="G135" s="257">
        <v>0</v>
      </c>
      <c r="H135" s="153"/>
      <c r="I135" s="258">
        <v>0</v>
      </c>
      <c r="J135" s="153"/>
    </row>
    <row r="136" spans="1:16" ht="12.75" customHeight="1">
      <c r="A136" s="220" t="s">
        <v>150</v>
      </c>
      <c r="B136" s="152"/>
      <c r="C136" s="152"/>
      <c r="D136" s="153"/>
      <c r="E136" s="238"/>
      <c r="F136" s="238"/>
      <c r="G136" s="239">
        <v>0</v>
      </c>
      <c r="H136" s="153"/>
      <c r="I136" s="240">
        <v>0</v>
      </c>
      <c r="J136" s="153"/>
    </row>
    <row r="137" spans="1:16" ht="12.75" customHeight="1">
      <c r="A137" s="241" t="s">
        <v>151</v>
      </c>
      <c r="B137" s="152"/>
      <c r="C137" s="152"/>
      <c r="D137" s="153"/>
      <c r="E137" s="242">
        <v>9441</v>
      </c>
      <c r="F137" s="242"/>
      <c r="G137" s="257">
        <v>0</v>
      </c>
      <c r="H137" s="153"/>
      <c r="I137" s="258">
        <v>0</v>
      </c>
      <c r="J137" s="153"/>
    </row>
    <row r="138" spans="1:16" ht="12.75" customHeight="1">
      <c r="A138" s="220" t="s">
        <v>152</v>
      </c>
      <c r="B138" s="152"/>
      <c r="C138" s="152"/>
      <c r="D138" s="153"/>
      <c r="E138" s="262"/>
      <c r="F138" s="153"/>
      <c r="G138" s="262"/>
      <c r="H138" s="153"/>
      <c r="I138" s="263"/>
      <c r="J138" s="153"/>
    </row>
    <row r="139" spans="1:16" ht="12.75" customHeight="1">
      <c r="A139" s="265"/>
      <c r="B139" s="152"/>
      <c r="C139" s="152"/>
      <c r="D139" s="153"/>
      <c r="E139" s="264"/>
      <c r="F139" s="153"/>
      <c r="G139" s="257"/>
      <c r="H139" s="153"/>
      <c r="I139" s="257"/>
      <c r="J139" s="153"/>
    </row>
    <row r="140" spans="1:16" ht="12.75" customHeight="1">
      <c r="A140" s="265"/>
      <c r="B140" s="152"/>
      <c r="C140" s="152"/>
      <c r="D140" s="153"/>
      <c r="E140" s="264"/>
      <c r="F140" s="153"/>
      <c r="G140" s="257"/>
      <c r="H140" s="153"/>
      <c r="I140" s="257"/>
      <c r="J140" s="153"/>
    </row>
    <row r="141" spans="1:16" ht="12.75" customHeight="1">
      <c r="A141" s="265"/>
      <c r="B141" s="152"/>
      <c r="C141" s="152"/>
      <c r="D141" s="153"/>
      <c r="E141" s="264"/>
      <c r="F141" s="153"/>
      <c r="G141" s="257"/>
      <c r="H141" s="153"/>
      <c r="I141" s="257"/>
      <c r="J141" s="153"/>
      <c r="P141" s="17"/>
    </row>
    <row r="142" spans="1:16" ht="12.75" customHeight="1">
      <c r="A142" s="222" t="s">
        <v>153</v>
      </c>
      <c r="B142" s="152"/>
      <c r="C142" s="152"/>
      <c r="D142" s="153"/>
      <c r="E142" s="266">
        <f>SUM(E132:E141)</f>
        <v>298758</v>
      </c>
      <c r="F142" s="153"/>
      <c r="G142" s="266">
        <f>SUM(G132:G141)</f>
        <v>0</v>
      </c>
      <c r="H142" s="153"/>
      <c r="I142" s="266">
        <f>SUM(I132:I141)</f>
        <v>0</v>
      </c>
      <c r="J142" s="153"/>
      <c r="L142" s="6"/>
    </row>
    <row r="143" spans="1:16" ht="14.25" customHeight="1">
      <c r="A143" s="267" t="s">
        <v>154</v>
      </c>
      <c r="B143" s="163"/>
      <c r="C143" s="163"/>
      <c r="D143" s="163"/>
      <c r="E143" s="163"/>
      <c r="F143" s="163"/>
      <c r="G143" s="163"/>
      <c r="H143" s="163"/>
      <c r="I143" s="163"/>
      <c r="J143" s="164"/>
      <c r="L143" s="6"/>
    </row>
    <row r="144" spans="1:16" ht="14.25" customHeight="1">
      <c r="A144" s="268" t="s">
        <v>155</v>
      </c>
      <c r="B144" s="171"/>
      <c r="C144" s="171"/>
      <c r="D144" s="171"/>
      <c r="E144" s="171"/>
      <c r="F144" s="171"/>
      <c r="G144" s="171"/>
      <c r="H144" s="171"/>
      <c r="I144" s="171"/>
      <c r="J144" s="172"/>
      <c r="L144" s="6"/>
    </row>
    <row r="145" spans="1:12" ht="14.25" customHeight="1">
      <c r="A145" s="268" t="s">
        <v>156</v>
      </c>
      <c r="B145" s="171"/>
      <c r="C145" s="171"/>
      <c r="D145" s="171"/>
      <c r="E145" s="171"/>
      <c r="F145" s="171"/>
      <c r="G145" s="171"/>
      <c r="H145" s="171"/>
      <c r="I145" s="171"/>
      <c r="J145" s="172"/>
      <c r="L145" s="6"/>
    </row>
    <row r="146" spans="1:12" ht="14.25" customHeight="1">
      <c r="A146" s="260" t="s">
        <v>157</v>
      </c>
      <c r="B146" s="149"/>
      <c r="C146" s="149"/>
      <c r="D146" s="149"/>
      <c r="E146" s="149"/>
      <c r="F146" s="149"/>
      <c r="G146" s="149"/>
      <c r="H146" s="149"/>
      <c r="I146" s="149"/>
      <c r="J146" s="150"/>
      <c r="L146" s="6"/>
    </row>
    <row r="147" spans="1:12" ht="15" customHeight="1">
      <c r="A147" s="261" t="s">
        <v>972</v>
      </c>
      <c r="B147" s="197"/>
      <c r="C147" s="197"/>
      <c r="D147" s="197"/>
      <c r="E147" s="197"/>
      <c r="F147" s="197"/>
      <c r="G147" s="197"/>
      <c r="H147" s="197"/>
      <c r="I147" s="197"/>
      <c r="J147" s="198"/>
      <c r="L147" s="6"/>
    </row>
    <row r="148" spans="1:12" ht="15" customHeight="1">
      <c r="A148" s="158"/>
      <c r="B148" s="156"/>
      <c r="C148" s="156"/>
      <c r="D148" s="156"/>
      <c r="E148" s="156"/>
      <c r="F148" s="156"/>
      <c r="G148" s="156"/>
      <c r="H148" s="156"/>
      <c r="I148" s="156"/>
      <c r="J148" s="157"/>
    </row>
    <row r="149" spans="1:12" ht="15" customHeight="1">
      <c r="A149" s="158"/>
      <c r="B149" s="156"/>
      <c r="C149" s="156"/>
      <c r="D149" s="156"/>
      <c r="E149" s="156"/>
      <c r="F149" s="156"/>
      <c r="G149" s="156"/>
      <c r="H149" s="156"/>
      <c r="I149" s="156"/>
      <c r="J149" s="157"/>
    </row>
    <row r="150" spans="1:12" ht="15" customHeight="1">
      <c r="A150" s="158"/>
      <c r="B150" s="156"/>
      <c r="C150" s="156"/>
      <c r="D150" s="156"/>
      <c r="E150" s="156"/>
      <c r="F150" s="156"/>
      <c r="G150" s="156"/>
      <c r="H150" s="156"/>
      <c r="I150" s="156"/>
      <c r="J150" s="157"/>
    </row>
    <row r="151" spans="1:12" ht="15" customHeight="1">
      <c r="A151" s="158"/>
      <c r="B151" s="156"/>
      <c r="C151" s="156"/>
      <c r="D151" s="156"/>
      <c r="E151" s="156"/>
      <c r="F151" s="156"/>
      <c r="G151" s="156"/>
      <c r="H151" s="156"/>
      <c r="I151" s="156"/>
      <c r="J151" s="157"/>
    </row>
    <row r="152" spans="1:12" ht="15" customHeight="1">
      <c r="A152" s="158"/>
      <c r="B152" s="156"/>
      <c r="C152" s="156"/>
      <c r="D152" s="156"/>
      <c r="E152" s="156"/>
      <c r="F152" s="156"/>
      <c r="G152" s="156"/>
      <c r="H152" s="156"/>
      <c r="I152" s="156"/>
      <c r="J152" s="157"/>
    </row>
    <row r="153" spans="1:12" ht="15" customHeight="1">
      <c r="A153" s="158"/>
      <c r="B153" s="156"/>
      <c r="C153" s="156"/>
      <c r="D153" s="156"/>
      <c r="E153" s="156"/>
      <c r="F153" s="156"/>
      <c r="G153" s="156"/>
      <c r="H153" s="156"/>
      <c r="I153" s="156"/>
      <c r="J153" s="157"/>
    </row>
    <row r="154" spans="1:12" ht="15" customHeight="1">
      <c r="A154" s="158"/>
      <c r="B154" s="156"/>
      <c r="C154" s="156"/>
      <c r="D154" s="156"/>
      <c r="E154" s="156"/>
      <c r="F154" s="156"/>
      <c r="G154" s="156"/>
      <c r="H154" s="156"/>
      <c r="I154" s="156"/>
      <c r="J154" s="157"/>
    </row>
    <row r="155" spans="1:12" ht="15" customHeight="1">
      <c r="A155" s="158"/>
      <c r="B155" s="156"/>
      <c r="C155" s="156"/>
      <c r="D155" s="156"/>
      <c r="E155" s="156"/>
      <c r="F155" s="156"/>
      <c r="G155" s="156"/>
      <c r="H155" s="156"/>
      <c r="I155" s="156"/>
      <c r="J155" s="157"/>
    </row>
    <row r="156" spans="1:12" ht="15" customHeight="1">
      <c r="A156" s="158"/>
      <c r="B156" s="156"/>
      <c r="C156" s="156"/>
      <c r="D156" s="156"/>
      <c r="E156" s="156"/>
      <c r="F156" s="156"/>
      <c r="G156" s="156"/>
      <c r="H156" s="156"/>
      <c r="I156" s="156"/>
      <c r="J156" s="157"/>
    </row>
    <row r="157" spans="1:12" ht="15" customHeight="1">
      <c r="A157" s="158"/>
      <c r="B157" s="156"/>
      <c r="C157" s="156"/>
      <c r="D157" s="156"/>
      <c r="E157" s="156"/>
      <c r="F157" s="156"/>
      <c r="G157" s="156"/>
      <c r="H157" s="156"/>
      <c r="I157" s="156"/>
      <c r="J157" s="157"/>
      <c r="L157" s="6"/>
    </row>
    <row r="158" spans="1:12" ht="15" customHeight="1">
      <c r="A158" s="158"/>
      <c r="B158" s="156"/>
      <c r="C158" s="156"/>
      <c r="D158" s="156"/>
      <c r="E158" s="156"/>
      <c r="F158" s="156"/>
      <c r="G158" s="156"/>
      <c r="H158" s="156"/>
      <c r="I158" s="156"/>
      <c r="J158" s="157"/>
      <c r="L158" s="6"/>
    </row>
    <row r="159" spans="1:12" ht="15" customHeight="1">
      <c r="A159" s="158"/>
      <c r="B159" s="156"/>
      <c r="C159" s="156"/>
      <c r="D159" s="156"/>
      <c r="E159" s="156"/>
      <c r="F159" s="156"/>
      <c r="G159" s="156"/>
      <c r="H159" s="156"/>
      <c r="I159" s="156"/>
      <c r="J159" s="157"/>
      <c r="L159" s="6"/>
    </row>
    <row r="160" spans="1:12" ht="15" customHeight="1">
      <c r="A160" s="158"/>
      <c r="B160" s="156"/>
      <c r="C160" s="156"/>
      <c r="D160" s="156"/>
      <c r="E160" s="156"/>
      <c r="F160" s="156"/>
      <c r="G160" s="156"/>
      <c r="H160" s="156"/>
      <c r="I160" s="156"/>
      <c r="J160" s="157"/>
      <c r="L160" s="6"/>
    </row>
    <row r="161" spans="1:12" ht="15" customHeight="1">
      <c r="A161" s="158"/>
      <c r="B161" s="156"/>
      <c r="C161" s="156"/>
      <c r="D161" s="156"/>
      <c r="E161" s="156"/>
      <c r="F161" s="156"/>
      <c r="G161" s="156"/>
      <c r="H161" s="156"/>
      <c r="I161" s="156"/>
      <c r="J161" s="157"/>
      <c r="L161" s="6"/>
    </row>
    <row r="162" spans="1:12" ht="15" customHeight="1">
      <c r="A162" s="158"/>
      <c r="B162" s="156"/>
      <c r="C162" s="156"/>
      <c r="D162" s="156"/>
      <c r="E162" s="156"/>
      <c r="F162" s="156"/>
      <c r="G162" s="156"/>
      <c r="H162" s="156"/>
      <c r="I162" s="156"/>
      <c r="J162" s="157"/>
      <c r="L162" s="6"/>
    </row>
    <row r="163" spans="1:12" ht="15" customHeight="1">
      <c r="A163" s="158"/>
      <c r="B163" s="156"/>
      <c r="C163" s="156"/>
      <c r="D163" s="156"/>
      <c r="E163" s="156"/>
      <c r="F163" s="156"/>
      <c r="G163" s="156"/>
      <c r="H163" s="156"/>
      <c r="I163" s="156"/>
      <c r="J163" s="157"/>
      <c r="L163" s="6"/>
    </row>
    <row r="164" spans="1:12" ht="15" customHeight="1">
      <c r="A164" s="158"/>
      <c r="B164" s="156"/>
      <c r="C164" s="156"/>
      <c r="D164" s="156"/>
      <c r="E164" s="156"/>
      <c r="F164" s="156"/>
      <c r="G164" s="156"/>
      <c r="H164" s="156"/>
      <c r="I164" s="156"/>
      <c r="J164" s="157"/>
      <c r="L164" s="6"/>
    </row>
    <row r="165" spans="1:12" ht="15" customHeight="1">
      <c r="A165" s="158"/>
      <c r="B165" s="156"/>
      <c r="C165" s="156"/>
      <c r="D165" s="156"/>
      <c r="E165" s="156"/>
      <c r="F165" s="156"/>
      <c r="G165" s="156"/>
      <c r="H165" s="156"/>
      <c r="I165" s="156"/>
      <c r="J165" s="157"/>
      <c r="L165" s="6"/>
    </row>
    <row r="166" spans="1:12" ht="15" customHeight="1">
      <c r="A166" s="158"/>
      <c r="B166" s="156"/>
      <c r="C166" s="156"/>
      <c r="D166" s="156"/>
      <c r="E166" s="156"/>
      <c r="F166" s="156"/>
      <c r="G166" s="156"/>
      <c r="H166" s="156"/>
      <c r="I166" s="156"/>
      <c r="J166" s="157"/>
      <c r="L166" s="6"/>
    </row>
    <row r="167" spans="1:12" ht="15" customHeight="1">
      <c r="A167" s="158"/>
      <c r="B167" s="156"/>
      <c r="C167" s="156"/>
      <c r="D167" s="156"/>
      <c r="E167" s="156"/>
      <c r="F167" s="156"/>
      <c r="G167" s="156"/>
      <c r="H167" s="156"/>
      <c r="I167" s="156"/>
      <c r="J167" s="157"/>
      <c r="L167" s="6"/>
    </row>
    <row r="168" spans="1:12" ht="15" customHeight="1">
      <c r="A168" s="158"/>
      <c r="B168" s="156"/>
      <c r="C168" s="156"/>
      <c r="D168" s="156"/>
      <c r="E168" s="156"/>
      <c r="F168" s="156"/>
      <c r="G168" s="156"/>
      <c r="H168" s="156"/>
      <c r="I168" s="156"/>
      <c r="J168" s="157"/>
      <c r="L168" s="6"/>
    </row>
    <row r="169" spans="1:12" ht="15" customHeight="1">
      <c r="A169" s="158"/>
      <c r="B169" s="156"/>
      <c r="C169" s="156"/>
      <c r="D169" s="156"/>
      <c r="E169" s="156"/>
      <c r="F169" s="156"/>
      <c r="G169" s="156"/>
      <c r="H169" s="156"/>
      <c r="I169" s="156"/>
      <c r="J169" s="157"/>
      <c r="L169" s="6"/>
    </row>
    <row r="170" spans="1:12" ht="15" customHeight="1">
      <c r="A170" s="158"/>
      <c r="B170" s="156"/>
      <c r="C170" s="156"/>
      <c r="D170" s="156"/>
      <c r="E170" s="156"/>
      <c r="F170" s="156"/>
      <c r="G170" s="156"/>
      <c r="H170" s="156"/>
      <c r="I170" s="156"/>
      <c r="J170" s="157"/>
      <c r="K170" s="58"/>
      <c r="L170" s="58"/>
    </row>
    <row r="171" spans="1:12" ht="15" customHeight="1">
      <c r="A171" s="158"/>
      <c r="B171" s="156"/>
      <c r="C171" s="156"/>
      <c r="D171" s="156"/>
      <c r="E171" s="156"/>
      <c r="F171" s="156"/>
      <c r="G171" s="156"/>
      <c r="H171" s="156"/>
      <c r="I171" s="156"/>
      <c r="J171" s="157"/>
    </row>
    <row r="172" spans="1:12" ht="15" customHeight="1">
      <c r="A172" s="158"/>
      <c r="B172" s="156"/>
      <c r="C172" s="156"/>
      <c r="D172" s="156"/>
      <c r="E172" s="156"/>
      <c r="F172" s="156"/>
      <c r="G172" s="156"/>
      <c r="H172" s="156"/>
      <c r="I172" s="156"/>
      <c r="J172" s="157"/>
    </row>
    <row r="173" spans="1:12" ht="15" customHeight="1">
      <c r="A173" s="158"/>
      <c r="B173" s="156"/>
      <c r="C173" s="156"/>
      <c r="D173" s="156"/>
      <c r="E173" s="156"/>
      <c r="F173" s="156"/>
      <c r="G173" s="156"/>
      <c r="H173" s="156"/>
      <c r="I173" s="156"/>
      <c r="J173" s="157"/>
    </row>
    <row r="174" spans="1:12" ht="15" customHeight="1">
      <c r="A174" s="199"/>
      <c r="B174" s="167"/>
      <c r="C174" s="167"/>
      <c r="D174" s="167"/>
      <c r="E174" s="167"/>
      <c r="F174" s="167"/>
      <c r="G174" s="167"/>
      <c r="H174" s="167"/>
      <c r="I174" s="167"/>
      <c r="J174" s="168"/>
    </row>
    <row r="175" spans="1:12" ht="15" customHeight="1">
      <c r="A175" s="105"/>
      <c r="B175" s="105"/>
      <c r="C175" s="105"/>
      <c r="D175" s="105"/>
      <c r="E175" s="105"/>
      <c r="F175" s="105"/>
      <c r="G175" s="105"/>
      <c r="H175" s="105"/>
      <c r="I175" s="105"/>
      <c r="J175" s="105"/>
    </row>
    <row r="176" spans="1:12" ht="15" customHeight="1">
      <c r="A176" s="105"/>
      <c r="B176" s="105"/>
      <c r="C176" s="105"/>
      <c r="D176" s="105"/>
      <c r="E176" s="105"/>
      <c r="F176" s="105"/>
      <c r="G176" s="105"/>
      <c r="H176" s="105"/>
      <c r="I176" s="105"/>
      <c r="J176" s="105"/>
    </row>
    <row r="177" spans="1:26" ht="12.75" customHeight="1">
      <c r="A177" s="207" t="s">
        <v>65</v>
      </c>
      <c r="B177" s="152"/>
      <c r="C177" s="152"/>
      <c r="D177" s="152"/>
      <c r="E177" s="152"/>
      <c r="F177" s="152"/>
      <c r="G177" s="181"/>
      <c r="H177" s="208" t="str">
        <f>'CONTACT INFORMATION'!$A$24</f>
        <v>Humboldt</v>
      </c>
      <c r="I177" s="152"/>
      <c r="J177" s="153"/>
      <c r="K177" s="106"/>
      <c r="L177" s="106"/>
      <c r="M177" s="106"/>
      <c r="N177" s="106"/>
      <c r="O177" s="106"/>
      <c r="P177" s="106"/>
      <c r="Q177" s="106"/>
      <c r="R177" s="106"/>
      <c r="S177" s="106"/>
      <c r="T177" s="106"/>
    </row>
    <row r="178" spans="1:26" ht="7.5" customHeight="1">
      <c r="A178" s="107"/>
      <c r="B178" s="107"/>
      <c r="C178" s="107"/>
      <c r="D178" s="107"/>
      <c r="E178" s="107"/>
      <c r="F178" s="107"/>
      <c r="G178" s="107"/>
      <c r="H178" s="107"/>
      <c r="I178" s="107"/>
      <c r="J178" s="107"/>
    </row>
    <row r="179" spans="1:26" ht="12.75" customHeight="1">
      <c r="A179" s="251" t="s">
        <v>158</v>
      </c>
      <c r="B179" s="152"/>
      <c r="C179" s="152"/>
      <c r="D179" s="152"/>
      <c r="E179" s="152"/>
      <c r="F179" s="152"/>
      <c r="G179" s="152"/>
      <c r="H179" s="152"/>
      <c r="I179" s="152"/>
      <c r="J179" s="153"/>
    </row>
    <row r="180" spans="1:26" ht="12.75" customHeight="1">
      <c r="A180" s="252" t="s">
        <v>140</v>
      </c>
      <c r="B180" s="163"/>
      <c r="C180" s="163"/>
      <c r="D180" s="164"/>
      <c r="E180" s="253" t="s">
        <v>961</v>
      </c>
      <c r="F180" s="197"/>
      <c r="G180" s="197"/>
      <c r="H180" s="197"/>
      <c r="I180" s="197"/>
      <c r="J180" s="198"/>
    </row>
    <row r="181" spans="1:26" ht="12.75" customHeight="1">
      <c r="A181" s="254" t="s">
        <v>141</v>
      </c>
      <c r="B181" s="149"/>
      <c r="C181" s="149"/>
      <c r="D181" s="150"/>
      <c r="E181" s="199"/>
      <c r="F181" s="167"/>
      <c r="G181" s="167"/>
      <c r="H181" s="167"/>
      <c r="I181" s="167"/>
      <c r="J181" s="168"/>
    </row>
    <row r="182" spans="1:26" ht="12.75" customHeight="1">
      <c r="A182" s="259" t="s">
        <v>159</v>
      </c>
      <c r="B182" s="152"/>
      <c r="C182" s="152"/>
      <c r="D182" s="153"/>
      <c r="E182" s="221" t="s">
        <v>78</v>
      </c>
      <c r="F182" s="152"/>
      <c r="G182" s="152"/>
      <c r="H182" s="152"/>
      <c r="I182" s="152"/>
      <c r="J182" s="153"/>
    </row>
    <row r="183" spans="1:26" ht="27" customHeight="1">
      <c r="A183" s="108"/>
      <c r="B183" s="104"/>
      <c r="C183" s="104"/>
      <c r="D183" s="104"/>
      <c r="E183" s="255" t="s">
        <v>143</v>
      </c>
      <c r="F183" s="167"/>
      <c r="G183" s="255" t="s">
        <v>144</v>
      </c>
      <c r="H183" s="167"/>
      <c r="I183" s="256" t="s">
        <v>145</v>
      </c>
      <c r="J183" s="168"/>
      <c r="U183" s="106"/>
      <c r="V183" s="106"/>
      <c r="W183" s="106"/>
      <c r="X183" s="106"/>
      <c r="Y183" s="106"/>
      <c r="Z183" s="106"/>
    </row>
    <row r="184" spans="1:26" ht="12.75" customHeight="1">
      <c r="A184" s="220" t="s">
        <v>146</v>
      </c>
      <c r="B184" s="152"/>
      <c r="C184" s="152"/>
      <c r="D184" s="153"/>
      <c r="E184" s="239"/>
      <c r="F184" s="153"/>
      <c r="G184" s="239">
        <f>923898.9-SUM(334300+24685+11136)</f>
        <v>553777.9</v>
      </c>
      <c r="H184" s="153"/>
      <c r="I184" s="240"/>
      <c r="J184" s="153"/>
    </row>
    <row r="185" spans="1:26" ht="12.75" customHeight="1">
      <c r="A185" s="241" t="s">
        <v>147</v>
      </c>
      <c r="B185" s="152"/>
      <c r="C185" s="152"/>
      <c r="D185" s="153"/>
      <c r="E185" s="264">
        <v>0</v>
      </c>
      <c r="F185" s="153"/>
      <c r="G185" s="257">
        <f>358985-24685</f>
        <v>334300</v>
      </c>
      <c r="H185" s="153"/>
      <c r="I185" s="258">
        <v>0</v>
      </c>
      <c r="J185" s="153"/>
    </row>
    <row r="186" spans="1:26" ht="12.75" customHeight="1">
      <c r="A186" s="220" t="s">
        <v>148</v>
      </c>
      <c r="B186" s="152"/>
      <c r="C186" s="152"/>
      <c r="D186" s="153"/>
      <c r="E186" s="239">
        <v>0</v>
      </c>
      <c r="F186" s="153"/>
      <c r="G186" s="239">
        <v>24685</v>
      </c>
      <c r="H186" s="153"/>
      <c r="I186" s="240">
        <v>0</v>
      </c>
      <c r="J186" s="153"/>
    </row>
    <row r="187" spans="1:26" ht="12.75" customHeight="1">
      <c r="A187" s="241" t="s">
        <v>149</v>
      </c>
      <c r="B187" s="152"/>
      <c r="C187" s="152"/>
      <c r="D187" s="153"/>
      <c r="E187" s="264">
        <v>0</v>
      </c>
      <c r="F187" s="153"/>
      <c r="G187" s="257"/>
      <c r="H187" s="153"/>
      <c r="I187" s="258">
        <v>0</v>
      </c>
      <c r="J187" s="153"/>
    </row>
    <row r="188" spans="1:26" ht="12.75" customHeight="1">
      <c r="A188" s="220" t="s">
        <v>150</v>
      </c>
      <c r="B188" s="152"/>
      <c r="C188" s="152"/>
      <c r="D188" s="153"/>
      <c r="E188" s="239">
        <v>0</v>
      </c>
      <c r="F188" s="153"/>
      <c r="G188" s="239">
        <v>0</v>
      </c>
      <c r="H188" s="153"/>
      <c r="I188" s="240"/>
      <c r="J188" s="153"/>
    </row>
    <row r="189" spans="1:26" ht="12.75" customHeight="1">
      <c r="A189" s="241" t="s">
        <v>151</v>
      </c>
      <c r="B189" s="152"/>
      <c r="C189" s="152"/>
      <c r="D189" s="153"/>
      <c r="E189" s="264">
        <v>0</v>
      </c>
      <c r="F189" s="153"/>
      <c r="G189" s="257">
        <v>0</v>
      </c>
      <c r="H189" s="153"/>
      <c r="I189" s="258"/>
      <c r="J189" s="153"/>
    </row>
    <row r="190" spans="1:26" ht="12.75" customHeight="1">
      <c r="A190" s="220" t="s">
        <v>152</v>
      </c>
      <c r="B190" s="152"/>
      <c r="C190" s="152"/>
      <c r="D190" s="153"/>
      <c r="E190" s="262"/>
      <c r="F190" s="153"/>
      <c r="G190" s="262"/>
      <c r="H190" s="153"/>
      <c r="I190" s="263"/>
      <c r="J190" s="153"/>
    </row>
    <row r="191" spans="1:26" ht="12.75" customHeight="1">
      <c r="A191" s="265"/>
      <c r="B191" s="152"/>
      <c r="C191" s="152"/>
      <c r="D191" s="153"/>
      <c r="E191" s="264"/>
      <c r="F191" s="153"/>
      <c r="G191" s="257"/>
      <c r="H191" s="153"/>
      <c r="I191" s="257"/>
      <c r="J191" s="153"/>
    </row>
    <row r="192" spans="1:26" ht="12.75" customHeight="1">
      <c r="A192" s="265"/>
      <c r="B192" s="152"/>
      <c r="C192" s="152"/>
      <c r="D192" s="153"/>
      <c r="E192" s="264"/>
      <c r="F192" s="153"/>
      <c r="G192" s="257"/>
      <c r="H192" s="153"/>
      <c r="I192" s="257"/>
      <c r="J192" s="153"/>
    </row>
    <row r="193" spans="1:10" ht="12.75" customHeight="1">
      <c r="A193" s="265"/>
      <c r="B193" s="152"/>
      <c r="C193" s="152"/>
      <c r="D193" s="153"/>
      <c r="E193" s="264"/>
      <c r="F193" s="153"/>
      <c r="G193" s="257"/>
      <c r="H193" s="153"/>
      <c r="I193" s="257"/>
      <c r="J193" s="153"/>
    </row>
    <row r="194" spans="1:10" ht="12.75" customHeight="1">
      <c r="A194" s="222" t="s">
        <v>153</v>
      </c>
      <c r="B194" s="152"/>
      <c r="C194" s="152"/>
      <c r="D194" s="153"/>
      <c r="E194" s="266">
        <f>SUM(E184:E193)</f>
        <v>0</v>
      </c>
      <c r="F194" s="153"/>
      <c r="G194" s="266">
        <f>SUM(G184:G193)</f>
        <v>912762.9</v>
      </c>
      <c r="H194" s="153"/>
      <c r="I194" s="266">
        <f>SUM(I184:I193)</f>
        <v>0</v>
      </c>
      <c r="J194" s="153"/>
    </row>
    <row r="195" spans="1:10" ht="14.25" customHeight="1">
      <c r="A195" s="267" t="s">
        <v>154</v>
      </c>
      <c r="B195" s="163"/>
      <c r="C195" s="163"/>
      <c r="D195" s="163"/>
      <c r="E195" s="163"/>
      <c r="F195" s="163"/>
      <c r="G195" s="163"/>
      <c r="H195" s="163"/>
      <c r="I195" s="163"/>
      <c r="J195" s="164"/>
    </row>
    <row r="196" spans="1:10" ht="14.25" customHeight="1">
      <c r="A196" s="268" t="s">
        <v>155</v>
      </c>
      <c r="B196" s="171"/>
      <c r="C196" s="171"/>
      <c r="D196" s="171"/>
      <c r="E196" s="171"/>
      <c r="F196" s="171"/>
      <c r="G196" s="171"/>
      <c r="H196" s="171"/>
      <c r="I196" s="171"/>
      <c r="J196" s="172"/>
    </row>
    <row r="197" spans="1:10" ht="14.25" customHeight="1">
      <c r="A197" s="268" t="s">
        <v>156</v>
      </c>
      <c r="B197" s="171"/>
      <c r="C197" s="171"/>
      <c r="D197" s="171"/>
      <c r="E197" s="171"/>
      <c r="F197" s="171"/>
      <c r="G197" s="171"/>
      <c r="H197" s="171"/>
      <c r="I197" s="171"/>
      <c r="J197" s="172"/>
    </row>
    <row r="198" spans="1:10" ht="14.25" customHeight="1">
      <c r="A198" s="260" t="s">
        <v>157</v>
      </c>
      <c r="B198" s="149"/>
      <c r="C198" s="149"/>
      <c r="D198" s="149"/>
      <c r="E198" s="149"/>
      <c r="F198" s="149"/>
      <c r="G198" s="149"/>
      <c r="H198" s="149"/>
      <c r="I198" s="149"/>
      <c r="J198" s="150"/>
    </row>
    <row r="199" spans="1:10" ht="15.75" customHeight="1">
      <c r="A199" s="196" t="s">
        <v>973</v>
      </c>
      <c r="B199" s="197"/>
      <c r="C199" s="197"/>
      <c r="D199" s="197"/>
      <c r="E199" s="197"/>
      <c r="F199" s="197"/>
      <c r="G199" s="197"/>
      <c r="H199" s="197"/>
      <c r="I199" s="197"/>
      <c r="J199" s="198"/>
    </row>
    <row r="200" spans="1:10" ht="15" customHeight="1">
      <c r="A200" s="158"/>
      <c r="B200" s="156"/>
      <c r="C200" s="156"/>
      <c r="D200" s="156"/>
      <c r="E200" s="156"/>
      <c r="F200" s="156"/>
      <c r="G200" s="156"/>
      <c r="H200" s="156"/>
      <c r="I200" s="156"/>
      <c r="J200" s="157"/>
    </row>
    <row r="201" spans="1:10" ht="15" customHeight="1">
      <c r="A201" s="158"/>
      <c r="B201" s="156"/>
      <c r="C201" s="156"/>
      <c r="D201" s="156"/>
      <c r="E201" s="156"/>
      <c r="F201" s="156"/>
      <c r="G201" s="156"/>
      <c r="H201" s="156"/>
      <c r="I201" s="156"/>
      <c r="J201" s="157"/>
    </row>
    <row r="202" spans="1:10" ht="15" customHeight="1">
      <c r="A202" s="158"/>
      <c r="B202" s="156"/>
      <c r="C202" s="156"/>
      <c r="D202" s="156"/>
      <c r="E202" s="156"/>
      <c r="F202" s="156"/>
      <c r="G202" s="156"/>
      <c r="H202" s="156"/>
      <c r="I202" s="156"/>
      <c r="J202" s="157"/>
    </row>
    <row r="203" spans="1:10" ht="15" customHeight="1">
      <c r="A203" s="158"/>
      <c r="B203" s="156"/>
      <c r="C203" s="156"/>
      <c r="D203" s="156"/>
      <c r="E203" s="156"/>
      <c r="F203" s="156"/>
      <c r="G203" s="156"/>
      <c r="H203" s="156"/>
      <c r="I203" s="156"/>
      <c r="J203" s="157"/>
    </row>
    <row r="204" spans="1:10" ht="15" customHeight="1">
      <c r="A204" s="158"/>
      <c r="B204" s="156"/>
      <c r="C204" s="156"/>
      <c r="D204" s="156"/>
      <c r="E204" s="156"/>
      <c r="F204" s="156"/>
      <c r="G204" s="156"/>
      <c r="H204" s="156"/>
      <c r="I204" s="156"/>
      <c r="J204" s="157"/>
    </row>
    <row r="205" spans="1:10" ht="15" customHeight="1">
      <c r="A205" s="158"/>
      <c r="B205" s="156"/>
      <c r="C205" s="156"/>
      <c r="D205" s="156"/>
      <c r="E205" s="156"/>
      <c r="F205" s="156"/>
      <c r="G205" s="156"/>
      <c r="H205" s="156"/>
      <c r="I205" s="156"/>
      <c r="J205" s="157"/>
    </row>
    <row r="206" spans="1:10" ht="15" customHeight="1">
      <c r="A206" s="158"/>
      <c r="B206" s="156"/>
      <c r="C206" s="156"/>
      <c r="D206" s="156"/>
      <c r="E206" s="156"/>
      <c r="F206" s="156"/>
      <c r="G206" s="156"/>
      <c r="H206" s="156"/>
      <c r="I206" s="156"/>
      <c r="J206" s="157"/>
    </row>
    <row r="207" spans="1:10" ht="15" customHeight="1">
      <c r="A207" s="158"/>
      <c r="B207" s="156"/>
      <c r="C207" s="156"/>
      <c r="D207" s="156"/>
      <c r="E207" s="156"/>
      <c r="F207" s="156"/>
      <c r="G207" s="156"/>
      <c r="H207" s="156"/>
      <c r="I207" s="156"/>
      <c r="J207" s="157"/>
    </row>
    <row r="208" spans="1:10" ht="15" customHeight="1">
      <c r="A208" s="158"/>
      <c r="B208" s="156"/>
      <c r="C208" s="156"/>
      <c r="D208" s="156"/>
      <c r="E208" s="156"/>
      <c r="F208" s="156"/>
      <c r="G208" s="156"/>
      <c r="H208" s="156"/>
      <c r="I208" s="156"/>
      <c r="J208" s="157"/>
    </row>
    <row r="209" spans="1:12" ht="15" customHeight="1">
      <c r="A209" s="158"/>
      <c r="B209" s="156"/>
      <c r="C209" s="156"/>
      <c r="D209" s="156"/>
      <c r="E209" s="156"/>
      <c r="F209" s="156"/>
      <c r="G209" s="156"/>
      <c r="H209" s="156"/>
      <c r="I209" s="156"/>
      <c r="J209" s="157"/>
    </row>
    <row r="210" spans="1:12" ht="15" customHeight="1">
      <c r="A210" s="158"/>
      <c r="B210" s="156"/>
      <c r="C210" s="156"/>
      <c r="D210" s="156"/>
      <c r="E210" s="156"/>
      <c r="F210" s="156"/>
      <c r="G210" s="156"/>
      <c r="H210" s="156"/>
      <c r="I210" s="156"/>
      <c r="J210" s="157"/>
    </row>
    <row r="211" spans="1:12" ht="15" customHeight="1">
      <c r="A211" s="158"/>
      <c r="B211" s="156"/>
      <c r="C211" s="156"/>
      <c r="D211" s="156"/>
      <c r="E211" s="156"/>
      <c r="F211" s="156"/>
      <c r="G211" s="156"/>
      <c r="H211" s="156"/>
      <c r="I211" s="156"/>
      <c r="J211" s="157"/>
    </row>
    <row r="212" spans="1:12" ht="15" customHeight="1">
      <c r="A212" s="158"/>
      <c r="B212" s="156"/>
      <c r="C212" s="156"/>
      <c r="D212" s="156"/>
      <c r="E212" s="156"/>
      <c r="F212" s="156"/>
      <c r="G212" s="156"/>
      <c r="H212" s="156"/>
      <c r="I212" s="156"/>
      <c r="J212" s="157"/>
    </row>
    <row r="213" spans="1:12" ht="15" customHeight="1">
      <c r="A213" s="158"/>
      <c r="B213" s="156"/>
      <c r="C213" s="156"/>
      <c r="D213" s="156"/>
      <c r="E213" s="156"/>
      <c r="F213" s="156"/>
      <c r="G213" s="156"/>
      <c r="H213" s="156"/>
      <c r="I213" s="156"/>
      <c r="J213" s="157"/>
    </row>
    <row r="214" spans="1:12" ht="15" customHeight="1">
      <c r="A214" s="158"/>
      <c r="B214" s="156"/>
      <c r="C214" s="156"/>
      <c r="D214" s="156"/>
      <c r="E214" s="156"/>
      <c r="F214" s="156"/>
      <c r="G214" s="156"/>
      <c r="H214" s="156"/>
      <c r="I214" s="156"/>
      <c r="J214" s="157"/>
    </row>
    <row r="215" spans="1:12" ht="15" customHeight="1">
      <c r="A215" s="158"/>
      <c r="B215" s="156"/>
      <c r="C215" s="156"/>
      <c r="D215" s="156"/>
      <c r="E215" s="156"/>
      <c r="F215" s="156"/>
      <c r="G215" s="156"/>
      <c r="H215" s="156"/>
      <c r="I215" s="156"/>
      <c r="J215" s="157"/>
    </row>
    <row r="216" spans="1:12" ht="15" customHeight="1">
      <c r="A216" s="158"/>
      <c r="B216" s="156"/>
      <c r="C216" s="156"/>
      <c r="D216" s="156"/>
      <c r="E216" s="156"/>
      <c r="F216" s="156"/>
      <c r="G216" s="156"/>
      <c r="H216" s="156"/>
      <c r="I216" s="156"/>
      <c r="J216" s="157"/>
    </row>
    <row r="217" spans="1:12" ht="15" customHeight="1">
      <c r="A217" s="158"/>
      <c r="B217" s="156"/>
      <c r="C217" s="156"/>
      <c r="D217" s="156"/>
      <c r="E217" s="156"/>
      <c r="F217" s="156"/>
      <c r="G217" s="156"/>
      <c r="H217" s="156"/>
      <c r="I217" s="156"/>
      <c r="J217" s="157"/>
    </row>
    <row r="218" spans="1:12" ht="15" customHeight="1">
      <c r="A218" s="158"/>
      <c r="B218" s="156"/>
      <c r="C218" s="156"/>
      <c r="D218" s="156"/>
      <c r="E218" s="156"/>
      <c r="F218" s="156"/>
      <c r="G218" s="156"/>
      <c r="H218" s="156"/>
      <c r="I218" s="156"/>
      <c r="J218" s="157"/>
    </row>
    <row r="219" spans="1:12" ht="15" customHeight="1">
      <c r="A219" s="158"/>
      <c r="B219" s="156"/>
      <c r="C219" s="156"/>
      <c r="D219" s="156"/>
      <c r="E219" s="156"/>
      <c r="F219" s="156"/>
      <c r="G219" s="156"/>
      <c r="H219" s="156"/>
      <c r="I219" s="156"/>
      <c r="J219" s="157"/>
    </row>
    <row r="220" spans="1:12" ht="15" customHeight="1">
      <c r="A220" s="158"/>
      <c r="B220" s="156"/>
      <c r="C220" s="156"/>
      <c r="D220" s="156"/>
      <c r="E220" s="156"/>
      <c r="F220" s="156"/>
      <c r="G220" s="156"/>
      <c r="H220" s="156"/>
      <c r="I220" s="156"/>
      <c r="J220" s="157"/>
    </row>
    <row r="221" spans="1:12" ht="15" customHeight="1">
      <c r="A221" s="158"/>
      <c r="B221" s="156"/>
      <c r="C221" s="156"/>
      <c r="D221" s="156"/>
      <c r="E221" s="156"/>
      <c r="F221" s="156"/>
      <c r="G221" s="156"/>
      <c r="H221" s="156"/>
      <c r="I221" s="156"/>
      <c r="J221" s="157"/>
      <c r="K221" s="58"/>
      <c r="L221" s="58"/>
    </row>
    <row r="222" spans="1:12" ht="15" customHeight="1">
      <c r="A222" s="158"/>
      <c r="B222" s="156"/>
      <c r="C222" s="156"/>
      <c r="D222" s="156"/>
      <c r="E222" s="156"/>
      <c r="F222" s="156"/>
      <c r="G222" s="156"/>
      <c r="H222" s="156"/>
      <c r="I222" s="156"/>
      <c r="J222" s="157"/>
    </row>
    <row r="223" spans="1:12" ht="15" customHeight="1">
      <c r="A223" s="158"/>
      <c r="B223" s="156"/>
      <c r="C223" s="156"/>
      <c r="D223" s="156"/>
      <c r="E223" s="156"/>
      <c r="F223" s="156"/>
      <c r="G223" s="156"/>
      <c r="H223" s="156"/>
      <c r="I223" s="156"/>
      <c r="J223" s="157"/>
    </row>
    <row r="224" spans="1:12" ht="15" customHeight="1">
      <c r="A224" s="158"/>
      <c r="B224" s="156"/>
      <c r="C224" s="156"/>
      <c r="D224" s="156"/>
      <c r="E224" s="156"/>
      <c r="F224" s="156"/>
      <c r="G224" s="156"/>
      <c r="H224" s="156"/>
      <c r="I224" s="156"/>
      <c r="J224" s="157"/>
    </row>
    <row r="225" spans="1:10" ht="15" customHeight="1">
      <c r="A225" s="158"/>
      <c r="B225" s="156"/>
      <c r="C225" s="156"/>
      <c r="D225" s="156"/>
      <c r="E225" s="156"/>
      <c r="F225" s="156"/>
      <c r="G225" s="156"/>
      <c r="H225" s="156"/>
      <c r="I225" s="156"/>
      <c r="J225" s="157"/>
    </row>
    <row r="226" spans="1:10" ht="15" customHeight="1">
      <c r="A226" s="199"/>
      <c r="B226" s="167"/>
      <c r="C226" s="167"/>
      <c r="D226" s="167"/>
      <c r="E226" s="167"/>
      <c r="F226" s="167"/>
      <c r="G226" s="167"/>
      <c r="H226" s="167"/>
      <c r="I226" s="167"/>
      <c r="J226" s="168"/>
    </row>
    <row r="227" spans="1:10" ht="12.75" customHeight="1"/>
    <row r="228" spans="1:10" ht="12.75" customHeight="1"/>
    <row r="229" spans="1:10" ht="12.75" customHeight="1">
      <c r="A229" s="207" t="s">
        <v>65</v>
      </c>
      <c r="B229" s="152"/>
      <c r="C229" s="152"/>
      <c r="D229" s="152"/>
      <c r="E229" s="152"/>
      <c r="F229" s="152"/>
      <c r="G229" s="181"/>
      <c r="H229" s="208" t="str">
        <f>'CONTACT INFORMATION'!$A$24</f>
        <v>Humboldt</v>
      </c>
      <c r="I229" s="152"/>
      <c r="J229" s="153"/>
    </row>
    <row r="230" spans="1:10" ht="7.5" customHeight="1">
      <c r="A230" s="107"/>
      <c r="B230" s="107"/>
      <c r="C230" s="107"/>
      <c r="D230" s="107"/>
      <c r="E230" s="107"/>
      <c r="F230" s="107"/>
      <c r="G230" s="107"/>
      <c r="H230" s="107"/>
      <c r="I230" s="107"/>
      <c r="J230" s="107"/>
    </row>
    <row r="231" spans="1:10" ht="12.75" customHeight="1">
      <c r="A231" s="251" t="s">
        <v>160</v>
      </c>
      <c r="B231" s="152"/>
      <c r="C231" s="152"/>
      <c r="D231" s="152"/>
      <c r="E231" s="152"/>
      <c r="F231" s="152"/>
      <c r="G231" s="152"/>
      <c r="H231" s="152"/>
      <c r="I231" s="152"/>
      <c r="J231" s="153"/>
    </row>
    <row r="232" spans="1:10" ht="12.75" customHeight="1">
      <c r="A232" s="252" t="s">
        <v>140</v>
      </c>
      <c r="B232" s="163"/>
      <c r="C232" s="163"/>
      <c r="D232" s="164"/>
      <c r="E232" s="253" t="s">
        <v>967</v>
      </c>
      <c r="F232" s="197"/>
      <c r="G232" s="197"/>
      <c r="H232" s="197"/>
      <c r="I232" s="197"/>
      <c r="J232" s="198"/>
    </row>
    <row r="233" spans="1:10" ht="12.75" customHeight="1">
      <c r="A233" s="254" t="s">
        <v>161</v>
      </c>
      <c r="B233" s="149"/>
      <c r="C233" s="149"/>
      <c r="D233" s="150"/>
      <c r="E233" s="199"/>
      <c r="F233" s="167"/>
      <c r="G233" s="167"/>
      <c r="H233" s="167"/>
      <c r="I233" s="167"/>
      <c r="J233" s="168"/>
    </row>
    <row r="234" spans="1:10" ht="12.75" customHeight="1">
      <c r="A234" s="259" t="s">
        <v>162</v>
      </c>
      <c r="B234" s="152"/>
      <c r="C234" s="152"/>
      <c r="D234" s="153"/>
      <c r="E234" s="221" t="s">
        <v>120</v>
      </c>
      <c r="F234" s="152"/>
      <c r="G234" s="152"/>
      <c r="H234" s="152"/>
      <c r="I234" s="152"/>
      <c r="J234" s="153"/>
    </row>
    <row r="235" spans="1:10" ht="27" customHeight="1">
      <c r="A235" s="108"/>
      <c r="B235" s="104"/>
      <c r="C235" s="104"/>
      <c r="D235" s="104"/>
      <c r="E235" s="255" t="s">
        <v>143</v>
      </c>
      <c r="F235" s="167"/>
      <c r="G235" s="255" t="s">
        <v>144</v>
      </c>
      <c r="H235" s="167"/>
      <c r="I235" s="256" t="s">
        <v>145</v>
      </c>
      <c r="J235" s="168"/>
    </row>
    <row r="236" spans="1:10" ht="12.75" customHeight="1">
      <c r="A236" s="220" t="s">
        <v>146</v>
      </c>
      <c r="B236" s="152"/>
      <c r="C236" s="152"/>
      <c r="D236" s="153"/>
      <c r="E236" s="239">
        <v>0</v>
      </c>
      <c r="F236" s="153"/>
      <c r="G236" s="239">
        <v>0</v>
      </c>
      <c r="H236" s="153"/>
      <c r="I236" s="240">
        <v>0</v>
      </c>
      <c r="J236" s="153"/>
    </row>
    <row r="237" spans="1:10" ht="12.75" customHeight="1">
      <c r="A237" s="241" t="s">
        <v>147</v>
      </c>
      <c r="B237" s="152"/>
      <c r="C237" s="152"/>
      <c r="D237" s="153"/>
      <c r="E237" s="264">
        <v>0</v>
      </c>
      <c r="F237" s="153"/>
      <c r="G237" s="257">
        <v>0</v>
      </c>
      <c r="H237" s="153"/>
      <c r="I237" s="258">
        <v>0</v>
      </c>
      <c r="J237" s="153"/>
    </row>
    <row r="238" spans="1:10" ht="12.75" customHeight="1">
      <c r="A238" s="220" t="s">
        <v>148</v>
      </c>
      <c r="B238" s="152"/>
      <c r="C238" s="152"/>
      <c r="D238" s="153"/>
      <c r="E238" s="239">
        <v>0</v>
      </c>
      <c r="F238" s="153"/>
      <c r="G238" s="239">
        <v>0</v>
      </c>
      <c r="H238" s="153"/>
      <c r="I238" s="240">
        <v>0</v>
      </c>
      <c r="J238" s="153"/>
    </row>
    <row r="239" spans="1:10" ht="12.75" customHeight="1">
      <c r="A239" s="241" t="s">
        <v>149</v>
      </c>
      <c r="B239" s="152"/>
      <c r="C239" s="152"/>
      <c r="D239" s="153"/>
      <c r="E239" s="264">
        <v>162337.88</v>
      </c>
      <c r="F239" s="153"/>
      <c r="G239" s="257">
        <v>0</v>
      </c>
      <c r="H239" s="153"/>
      <c r="I239" s="258">
        <v>0</v>
      </c>
      <c r="J239" s="153"/>
    </row>
    <row r="240" spans="1:10" ht="12.75" customHeight="1">
      <c r="A240" s="220" t="s">
        <v>150</v>
      </c>
      <c r="B240" s="152"/>
      <c r="C240" s="152"/>
      <c r="D240" s="153"/>
      <c r="E240" s="239">
        <v>0</v>
      </c>
      <c r="F240" s="153"/>
      <c r="G240" s="239">
        <v>0</v>
      </c>
      <c r="H240" s="153"/>
      <c r="I240" s="240">
        <v>0</v>
      </c>
      <c r="J240" s="153"/>
    </row>
    <row r="241" spans="1:10" ht="12.75" customHeight="1">
      <c r="A241" s="241" t="s">
        <v>151</v>
      </c>
      <c r="B241" s="152"/>
      <c r="C241" s="152"/>
      <c r="D241" s="153"/>
      <c r="E241" s="264">
        <v>0</v>
      </c>
      <c r="F241" s="153"/>
      <c r="G241" s="257">
        <v>0</v>
      </c>
      <c r="H241" s="153"/>
      <c r="I241" s="258">
        <v>0</v>
      </c>
      <c r="J241" s="153"/>
    </row>
    <row r="242" spans="1:10" ht="12.75" customHeight="1">
      <c r="A242" s="220" t="s">
        <v>152</v>
      </c>
      <c r="B242" s="152"/>
      <c r="C242" s="152"/>
      <c r="D242" s="153"/>
      <c r="E242" s="262"/>
      <c r="F242" s="153"/>
      <c r="G242" s="262"/>
      <c r="H242" s="153"/>
      <c r="I242" s="263"/>
      <c r="J242" s="153"/>
    </row>
    <row r="243" spans="1:10" ht="12.75" customHeight="1">
      <c r="A243" s="265"/>
      <c r="B243" s="152"/>
      <c r="C243" s="152"/>
      <c r="D243" s="153"/>
      <c r="E243" s="264"/>
      <c r="F243" s="153"/>
      <c r="G243" s="257"/>
      <c r="H243" s="153"/>
      <c r="I243" s="257"/>
      <c r="J243" s="153"/>
    </row>
    <row r="244" spans="1:10" ht="12.75" customHeight="1">
      <c r="A244" s="265"/>
      <c r="B244" s="152"/>
      <c r="C244" s="152"/>
      <c r="D244" s="153"/>
      <c r="E244" s="264"/>
      <c r="F244" s="153"/>
      <c r="G244" s="257"/>
      <c r="H244" s="153"/>
      <c r="I244" s="257"/>
      <c r="J244" s="153"/>
    </row>
    <row r="245" spans="1:10" ht="12.75" customHeight="1">
      <c r="A245" s="265"/>
      <c r="B245" s="152"/>
      <c r="C245" s="152"/>
      <c r="D245" s="153"/>
      <c r="E245" s="264"/>
      <c r="F245" s="153"/>
      <c r="G245" s="257"/>
      <c r="H245" s="153"/>
      <c r="I245" s="257"/>
      <c r="J245" s="153"/>
    </row>
    <row r="246" spans="1:10" ht="12.75" customHeight="1">
      <c r="A246" s="222" t="s">
        <v>153</v>
      </c>
      <c r="B246" s="152"/>
      <c r="C246" s="152"/>
      <c r="D246" s="153"/>
      <c r="E246" s="266">
        <f>SUM(E236:E245)</f>
        <v>162337.88</v>
      </c>
      <c r="F246" s="153"/>
      <c r="G246" s="266">
        <f>SUM(G236:G245)</f>
        <v>0</v>
      </c>
      <c r="H246" s="153"/>
      <c r="I246" s="266">
        <f>SUM(I236:I245)</f>
        <v>0</v>
      </c>
      <c r="J246" s="153"/>
    </row>
    <row r="247" spans="1:10" ht="12.75" customHeight="1">
      <c r="A247" s="267" t="s">
        <v>154</v>
      </c>
      <c r="B247" s="163"/>
      <c r="C247" s="163"/>
      <c r="D247" s="163"/>
      <c r="E247" s="163"/>
      <c r="F247" s="163"/>
      <c r="G247" s="163"/>
      <c r="H247" s="163"/>
      <c r="I247" s="163"/>
      <c r="J247" s="164"/>
    </row>
    <row r="248" spans="1:10" ht="12.75" customHeight="1">
      <c r="A248" s="268" t="s">
        <v>155</v>
      </c>
      <c r="B248" s="171"/>
      <c r="C248" s="171"/>
      <c r="D248" s="171"/>
      <c r="E248" s="171"/>
      <c r="F248" s="171"/>
      <c r="G248" s="171"/>
      <c r="H248" s="171"/>
      <c r="I248" s="171"/>
      <c r="J248" s="172"/>
    </row>
    <row r="249" spans="1:10" ht="12.75" customHeight="1">
      <c r="A249" s="268" t="s">
        <v>156</v>
      </c>
      <c r="B249" s="171"/>
      <c r="C249" s="171"/>
      <c r="D249" s="171"/>
      <c r="E249" s="171"/>
      <c r="F249" s="171"/>
      <c r="G249" s="171"/>
      <c r="H249" s="171"/>
      <c r="I249" s="171"/>
      <c r="J249" s="172"/>
    </row>
    <row r="250" spans="1:10" ht="12.75" customHeight="1">
      <c r="A250" s="260" t="s">
        <v>157</v>
      </c>
      <c r="B250" s="149"/>
      <c r="C250" s="149"/>
      <c r="D250" s="149"/>
      <c r="E250" s="149"/>
      <c r="F250" s="149"/>
      <c r="G250" s="149"/>
      <c r="H250" s="149"/>
      <c r="I250" s="149"/>
      <c r="J250" s="150"/>
    </row>
    <row r="251" spans="1:10" ht="12.75" customHeight="1">
      <c r="A251" s="196" t="s">
        <v>974</v>
      </c>
      <c r="B251" s="197"/>
      <c r="C251" s="197"/>
      <c r="D251" s="197"/>
      <c r="E251" s="197"/>
      <c r="F251" s="197"/>
      <c r="G251" s="197"/>
      <c r="H251" s="197"/>
      <c r="I251" s="197"/>
      <c r="J251" s="198"/>
    </row>
    <row r="252" spans="1:10" ht="12.75" customHeight="1">
      <c r="A252" s="158"/>
      <c r="B252" s="156"/>
      <c r="C252" s="156"/>
      <c r="D252" s="156"/>
      <c r="E252" s="156"/>
      <c r="F252" s="156"/>
      <c r="G252" s="156"/>
      <c r="H252" s="156"/>
      <c r="I252" s="156"/>
      <c r="J252" s="157"/>
    </row>
    <row r="253" spans="1:10" ht="12.75" customHeight="1">
      <c r="A253" s="158"/>
      <c r="B253" s="156"/>
      <c r="C253" s="156"/>
      <c r="D253" s="156"/>
      <c r="E253" s="156"/>
      <c r="F253" s="156"/>
      <c r="G253" s="156"/>
      <c r="H253" s="156"/>
      <c r="I253" s="156"/>
      <c r="J253" s="157"/>
    </row>
    <row r="254" spans="1:10" ht="12.75" customHeight="1">
      <c r="A254" s="158"/>
      <c r="B254" s="156"/>
      <c r="C254" s="156"/>
      <c r="D254" s="156"/>
      <c r="E254" s="156"/>
      <c r="F254" s="156"/>
      <c r="G254" s="156"/>
      <c r="H254" s="156"/>
      <c r="I254" s="156"/>
      <c r="J254" s="157"/>
    </row>
    <row r="255" spans="1:10" ht="12.75" customHeight="1">
      <c r="A255" s="158"/>
      <c r="B255" s="156"/>
      <c r="C255" s="156"/>
      <c r="D255" s="156"/>
      <c r="E255" s="156"/>
      <c r="F255" s="156"/>
      <c r="G255" s="156"/>
      <c r="H255" s="156"/>
      <c r="I255" s="156"/>
      <c r="J255" s="157"/>
    </row>
    <row r="256" spans="1:10" ht="12.75" customHeight="1">
      <c r="A256" s="158"/>
      <c r="B256" s="156"/>
      <c r="C256" s="156"/>
      <c r="D256" s="156"/>
      <c r="E256" s="156"/>
      <c r="F256" s="156"/>
      <c r="G256" s="156"/>
      <c r="H256" s="156"/>
      <c r="I256" s="156"/>
      <c r="J256" s="157"/>
    </row>
    <row r="257" spans="1:10" ht="12.75" customHeight="1">
      <c r="A257" s="158"/>
      <c r="B257" s="156"/>
      <c r="C257" s="156"/>
      <c r="D257" s="156"/>
      <c r="E257" s="156"/>
      <c r="F257" s="156"/>
      <c r="G257" s="156"/>
      <c r="H257" s="156"/>
      <c r="I257" s="156"/>
      <c r="J257" s="157"/>
    </row>
    <row r="258" spans="1:10" ht="12.75" customHeight="1">
      <c r="A258" s="158"/>
      <c r="B258" s="156"/>
      <c r="C258" s="156"/>
      <c r="D258" s="156"/>
      <c r="E258" s="156"/>
      <c r="F258" s="156"/>
      <c r="G258" s="156"/>
      <c r="H258" s="156"/>
      <c r="I258" s="156"/>
      <c r="J258" s="157"/>
    </row>
    <row r="259" spans="1:10" ht="12.75" customHeight="1">
      <c r="A259" s="158"/>
      <c r="B259" s="156"/>
      <c r="C259" s="156"/>
      <c r="D259" s="156"/>
      <c r="E259" s="156"/>
      <c r="F259" s="156"/>
      <c r="G259" s="156"/>
      <c r="H259" s="156"/>
      <c r="I259" s="156"/>
      <c r="J259" s="157"/>
    </row>
    <row r="260" spans="1:10" ht="12.75" customHeight="1">
      <c r="A260" s="158"/>
      <c r="B260" s="156"/>
      <c r="C260" s="156"/>
      <c r="D260" s="156"/>
      <c r="E260" s="156"/>
      <c r="F260" s="156"/>
      <c r="G260" s="156"/>
      <c r="H260" s="156"/>
      <c r="I260" s="156"/>
      <c r="J260" s="157"/>
    </row>
    <row r="261" spans="1:10" ht="12.75" customHeight="1">
      <c r="A261" s="158"/>
      <c r="B261" s="156"/>
      <c r="C261" s="156"/>
      <c r="D261" s="156"/>
      <c r="E261" s="156"/>
      <c r="F261" s="156"/>
      <c r="G261" s="156"/>
      <c r="H261" s="156"/>
      <c r="I261" s="156"/>
      <c r="J261" s="157"/>
    </row>
    <row r="262" spans="1:10" ht="12.75" customHeight="1">
      <c r="A262" s="158"/>
      <c r="B262" s="156"/>
      <c r="C262" s="156"/>
      <c r="D262" s="156"/>
      <c r="E262" s="156"/>
      <c r="F262" s="156"/>
      <c r="G262" s="156"/>
      <c r="H262" s="156"/>
      <c r="I262" s="156"/>
      <c r="J262" s="157"/>
    </row>
    <row r="263" spans="1:10" ht="12.75" customHeight="1">
      <c r="A263" s="158"/>
      <c r="B263" s="156"/>
      <c r="C263" s="156"/>
      <c r="D263" s="156"/>
      <c r="E263" s="156"/>
      <c r="F263" s="156"/>
      <c r="G263" s="156"/>
      <c r="H263" s="156"/>
      <c r="I263" s="156"/>
      <c r="J263" s="157"/>
    </row>
    <row r="264" spans="1:10" ht="12.75" customHeight="1">
      <c r="A264" s="158"/>
      <c r="B264" s="156"/>
      <c r="C264" s="156"/>
      <c r="D264" s="156"/>
      <c r="E264" s="156"/>
      <c r="F264" s="156"/>
      <c r="G264" s="156"/>
      <c r="H264" s="156"/>
      <c r="I264" s="156"/>
      <c r="J264" s="157"/>
    </row>
    <row r="265" spans="1:10" ht="12.75" customHeight="1">
      <c r="A265" s="158"/>
      <c r="B265" s="156"/>
      <c r="C265" s="156"/>
      <c r="D265" s="156"/>
      <c r="E265" s="156"/>
      <c r="F265" s="156"/>
      <c r="G265" s="156"/>
      <c r="H265" s="156"/>
      <c r="I265" s="156"/>
      <c r="J265" s="157"/>
    </row>
    <row r="266" spans="1:10" ht="12.75" customHeight="1">
      <c r="A266" s="158"/>
      <c r="B266" s="156"/>
      <c r="C266" s="156"/>
      <c r="D266" s="156"/>
      <c r="E266" s="156"/>
      <c r="F266" s="156"/>
      <c r="G266" s="156"/>
      <c r="H266" s="156"/>
      <c r="I266" s="156"/>
      <c r="J266" s="157"/>
    </row>
    <row r="267" spans="1:10" ht="12.75" customHeight="1">
      <c r="A267" s="158"/>
      <c r="B267" s="156"/>
      <c r="C267" s="156"/>
      <c r="D267" s="156"/>
      <c r="E267" s="156"/>
      <c r="F267" s="156"/>
      <c r="G267" s="156"/>
      <c r="H267" s="156"/>
      <c r="I267" s="156"/>
      <c r="J267" s="157"/>
    </row>
    <row r="268" spans="1:10" ht="12.75" customHeight="1">
      <c r="A268" s="158"/>
      <c r="B268" s="156"/>
      <c r="C268" s="156"/>
      <c r="D268" s="156"/>
      <c r="E268" s="156"/>
      <c r="F268" s="156"/>
      <c r="G268" s="156"/>
      <c r="H268" s="156"/>
      <c r="I268" s="156"/>
      <c r="J268" s="157"/>
    </row>
    <row r="269" spans="1:10" ht="12.75" customHeight="1">
      <c r="A269" s="158"/>
      <c r="B269" s="156"/>
      <c r="C269" s="156"/>
      <c r="D269" s="156"/>
      <c r="E269" s="156"/>
      <c r="F269" s="156"/>
      <c r="G269" s="156"/>
      <c r="H269" s="156"/>
      <c r="I269" s="156"/>
      <c r="J269" s="157"/>
    </row>
    <row r="270" spans="1:10" ht="12.75" customHeight="1">
      <c r="A270" s="158"/>
      <c r="B270" s="156"/>
      <c r="C270" s="156"/>
      <c r="D270" s="156"/>
      <c r="E270" s="156"/>
      <c r="F270" s="156"/>
      <c r="G270" s="156"/>
      <c r="H270" s="156"/>
      <c r="I270" s="156"/>
      <c r="J270" s="157"/>
    </row>
    <row r="271" spans="1:10" ht="12.75" customHeight="1">
      <c r="A271" s="158"/>
      <c r="B271" s="156"/>
      <c r="C271" s="156"/>
      <c r="D271" s="156"/>
      <c r="E271" s="156"/>
      <c r="F271" s="156"/>
      <c r="G271" s="156"/>
      <c r="H271" s="156"/>
      <c r="I271" s="156"/>
      <c r="J271" s="157"/>
    </row>
    <row r="272" spans="1:10" ht="12.75" customHeight="1">
      <c r="A272" s="158"/>
      <c r="B272" s="156"/>
      <c r="C272" s="156"/>
      <c r="D272" s="156"/>
      <c r="E272" s="156"/>
      <c r="F272" s="156"/>
      <c r="G272" s="156"/>
      <c r="H272" s="156"/>
      <c r="I272" s="156"/>
      <c r="J272" s="157"/>
    </row>
    <row r="273" spans="1:10" ht="12.75" customHeight="1">
      <c r="A273" s="158"/>
      <c r="B273" s="156"/>
      <c r="C273" s="156"/>
      <c r="D273" s="156"/>
      <c r="E273" s="156"/>
      <c r="F273" s="156"/>
      <c r="G273" s="156"/>
      <c r="H273" s="156"/>
      <c r="I273" s="156"/>
      <c r="J273" s="157"/>
    </row>
    <row r="274" spans="1:10" ht="12.75" customHeight="1">
      <c r="A274" s="158"/>
      <c r="B274" s="156"/>
      <c r="C274" s="156"/>
      <c r="D274" s="156"/>
      <c r="E274" s="156"/>
      <c r="F274" s="156"/>
      <c r="G274" s="156"/>
      <c r="H274" s="156"/>
      <c r="I274" s="156"/>
      <c r="J274" s="157"/>
    </row>
    <row r="275" spans="1:10" ht="12.75" customHeight="1">
      <c r="A275" s="158"/>
      <c r="B275" s="156"/>
      <c r="C275" s="156"/>
      <c r="D275" s="156"/>
      <c r="E275" s="156"/>
      <c r="F275" s="156"/>
      <c r="G275" s="156"/>
      <c r="H275" s="156"/>
      <c r="I275" s="156"/>
      <c r="J275" s="157"/>
    </row>
    <row r="276" spans="1:10" ht="12.75" customHeight="1">
      <c r="A276" s="158"/>
      <c r="B276" s="156"/>
      <c r="C276" s="156"/>
      <c r="D276" s="156"/>
      <c r="E276" s="156"/>
      <c r="F276" s="156"/>
      <c r="G276" s="156"/>
      <c r="H276" s="156"/>
      <c r="I276" s="156"/>
      <c r="J276" s="157"/>
    </row>
    <row r="277" spans="1:10" ht="12.75" customHeight="1">
      <c r="A277" s="158"/>
      <c r="B277" s="156"/>
      <c r="C277" s="156"/>
      <c r="D277" s="156"/>
      <c r="E277" s="156"/>
      <c r="F277" s="156"/>
      <c r="G277" s="156"/>
      <c r="H277" s="156"/>
      <c r="I277" s="156"/>
      <c r="J277" s="157"/>
    </row>
    <row r="278" spans="1:10" ht="12.75" customHeight="1">
      <c r="A278" s="158"/>
      <c r="B278" s="156"/>
      <c r="C278" s="156"/>
      <c r="D278" s="156"/>
      <c r="E278" s="156"/>
      <c r="F278" s="156"/>
      <c r="G278" s="156"/>
      <c r="H278" s="156"/>
      <c r="I278" s="156"/>
      <c r="J278" s="157"/>
    </row>
    <row r="279" spans="1:10" ht="12.75" customHeight="1">
      <c r="A279" s="158"/>
      <c r="B279" s="156"/>
      <c r="C279" s="156"/>
      <c r="D279" s="156"/>
      <c r="E279" s="156"/>
      <c r="F279" s="156"/>
      <c r="G279" s="156"/>
      <c r="H279" s="156"/>
      <c r="I279" s="156"/>
      <c r="J279" s="157"/>
    </row>
    <row r="280" spans="1:10" ht="12.75" customHeight="1">
      <c r="A280" s="158"/>
      <c r="B280" s="156"/>
      <c r="C280" s="156"/>
      <c r="D280" s="156"/>
      <c r="E280" s="156"/>
      <c r="F280" s="156"/>
      <c r="G280" s="156"/>
      <c r="H280" s="156"/>
      <c r="I280" s="156"/>
      <c r="J280" s="157"/>
    </row>
    <row r="281" spans="1:10" ht="12.75" customHeight="1">
      <c r="A281" s="158"/>
      <c r="B281" s="156"/>
      <c r="C281" s="156"/>
      <c r="D281" s="156"/>
      <c r="E281" s="156"/>
      <c r="F281" s="156"/>
      <c r="G281" s="156"/>
      <c r="H281" s="156"/>
      <c r="I281" s="156"/>
      <c r="J281" s="157"/>
    </row>
    <row r="282" spans="1:10" ht="12.75" customHeight="1">
      <c r="A282" s="158"/>
      <c r="B282" s="156"/>
      <c r="C282" s="156"/>
      <c r="D282" s="156"/>
      <c r="E282" s="156"/>
      <c r="F282" s="156"/>
      <c r="G282" s="156"/>
      <c r="H282" s="156"/>
      <c r="I282" s="156"/>
      <c r="J282" s="157"/>
    </row>
    <row r="283" spans="1:10" ht="12.75" customHeight="1">
      <c r="A283" s="158"/>
      <c r="B283" s="156"/>
      <c r="C283" s="156"/>
      <c r="D283" s="156"/>
      <c r="E283" s="156"/>
      <c r="F283" s="156"/>
      <c r="G283" s="156"/>
      <c r="H283" s="156"/>
      <c r="I283" s="156"/>
      <c r="J283" s="157"/>
    </row>
    <row r="284" spans="1:10" ht="12.75" customHeight="1">
      <c r="A284" s="158"/>
      <c r="B284" s="156"/>
      <c r="C284" s="156"/>
      <c r="D284" s="156"/>
      <c r="E284" s="156"/>
      <c r="F284" s="156"/>
      <c r="G284" s="156"/>
      <c r="H284" s="156"/>
      <c r="I284" s="156"/>
      <c r="J284" s="157"/>
    </row>
    <row r="285" spans="1:10" ht="12.75" customHeight="1">
      <c r="A285" s="199"/>
      <c r="B285" s="167"/>
      <c r="C285" s="167"/>
      <c r="D285" s="167"/>
      <c r="E285" s="167"/>
      <c r="F285" s="167"/>
      <c r="G285" s="167"/>
      <c r="H285" s="167"/>
      <c r="I285" s="167"/>
      <c r="J285" s="168"/>
    </row>
    <row r="286" spans="1:10" ht="12.75" customHeight="1"/>
    <row r="287" spans="1:10" ht="12.75" customHeight="1">
      <c r="A287" s="207" t="s">
        <v>65</v>
      </c>
      <c r="B287" s="152"/>
      <c r="C287" s="152"/>
      <c r="D287" s="152"/>
      <c r="E287" s="152"/>
      <c r="F287" s="152"/>
      <c r="G287" s="181"/>
      <c r="H287" s="208" t="str">
        <f>'CONTACT INFORMATION'!$A$24</f>
        <v>Humboldt</v>
      </c>
      <c r="I287" s="152"/>
      <c r="J287" s="153"/>
    </row>
    <row r="288" spans="1:10" ht="7.5" customHeight="1">
      <c r="A288" s="107"/>
      <c r="B288" s="107"/>
      <c r="C288" s="107"/>
      <c r="D288" s="107"/>
      <c r="E288" s="107"/>
      <c r="F288" s="107"/>
      <c r="G288" s="107"/>
      <c r="H288" s="107"/>
      <c r="I288" s="107"/>
      <c r="J288" s="107"/>
    </row>
    <row r="289" spans="1:10" ht="12.75" customHeight="1">
      <c r="A289" s="251" t="s">
        <v>163</v>
      </c>
      <c r="B289" s="152"/>
      <c r="C289" s="152"/>
      <c r="D289" s="152"/>
      <c r="E289" s="152"/>
      <c r="F289" s="152"/>
      <c r="G289" s="152"/>
      <c r="H289" s="152"/>
      <c r="I289" s="152"/>
      <c r="J289" s="153"/>
    </row>
    <row r="290" spans="1:10" ht="12.75" customHeight="1">
      <c r="A290" s="252" t="s">
        <v>140</v>
      </c>
      <c r="B290" s="163"/>
      <c r="C290" s="163"/>
      <c r="D290" s="164"/>
      <c r="E290" s="269" t="s">
        <v>963</v>
      </c>
      <c r="F290" s="197"/>
      <c r="G290" s="197"/>
      <c r="H290" s="197"/>
      <c r="I290" s="197"/>
      <c r="J290" s="198"/>
    </row>
    <row r="291" spans="1:10" ht="12.75" customHeight="1">
      <c r="A291" s="254" t="s">
        <v>161</v>
      </c>
      <c r="B291" s="149"/>
      <c r="C291" s="149"/>
      <c r="D291" s="150"/>
      <c r="E291" s="199"/>
      <c r="F291" s="167"/>
      <c r="G291" s="167"/>
      <c r="H291" s="167"/>
      <c r="I291" s="167"/>
      <c r="J291" s="168"/>
    </row>
    <row r="292" spans="1:10" ht="12.75" customHeight="1">
      <c r="A292" s="259" t="s">
        <v>164</v>
      </c>
      <c r="B292" s="152"/>
      <c r="C292" s="152"/>
      <c r="D292" s="153"/>
      <c r="E292" s="221" t="s">
        <v>117</v>
      </c>
      <c r="F292" s="152"/>
      <c r="G292" s="152"/>
      <c r="H292" s="152"/>
      <c r="I292" s="152"/>
      <c r="J292" s="153"/>
    </row>
    <row r="293" spans="1:10" ht="27" customHeight="1">
      <c r="A293" s="108"/>
      <c r="B293" s="104"/>
      <c r="C293" s="104"/>
      <c r="D293" s="104"/>
      <c r="E293" s="255" t="s">
        <v>143</v>
      </c>
      <c r="F293" s="167"/>
      <c r="G293" s="255" t="s">
        <v>144</v>
      </c>
      <c r="H293" s="167"/>
      <c r="I293" s="256" t="s">
        <v>145</v>
      </c>
      <c r="J293" s="168"/>
    </row>
    <row r="294" spans="1:10" ht="12.75" customHeight="1">
      <c r="A294" s="220" t="s">
        <v>146</v>
      </c>
      <c r="B294" s="152"/>
      <c r="C294" s="152"/>
      <c r="D294" s="153"/>
      <c r="E294" s="239">
        <v>260424</v>
      </c>
      <c r="F294" s="153"/>
      <c r="G294" s="239">
        <v>0</v>
      </c>
      <c r="H294" s="153"/>
      <c r="I294" s="240">
        <v>0</v>
      </c>
      <c r="J294" s="153"/>
    </row>
    <row r="295" spans="1:10" ht="12.75" customHeight="1">
      <c r="A295" s="241" t="s">
        <v>147</v>
      </c>
      <c r="B295" s="152"/>
      <c r="C295" s="152"/>
      <c r="D295" s="153"/>
      <c r="E295" s="264">
        <v>0</v>
      </c>
      <c r="F295" s="153"/>
      <c r="G295" s="257">
        <v>0</v>
      </c>
      <c r="H295" s="153"/>
      <c r="I295" s="258">
        <v>0</v>
      </c>
      <c r="J295" s="153"/>
    </row>
    <row r="296" spans="1:10" ht="12.75" customHeight="1">
      <c r="A296" s="220" t="s">
        <v>148</v>
      </c>
      <c r="B296" s="152"/>
      <c r="C296" s="152"/>
      <c r="D296" s="153"/>
      <c r="E296" s="270">
        <v>0</v>
      </c>
      <c r="F296" s="271"/>
      <c r="G296" s="239">
        <v>0</v>
      </c>
      <c r="H296" s="153"/>
      <c r="I296" s="240">
        <v>0</v>
      </c>
      <c r="J296" s="153"/>
    </row>
    <row r="297" spans="1:10" ht="12.75" customHeight="1">
      <c r="A297" s="241" t="s">
        <v>149</v>
      </c>
      <c r="B297" s="152"/>
      <c r="C297" s="152"/>
      <c r="D297" s="153"/>
      <c r="E297" s="264">
        <v>0</v>
      </c>
      <c r="F297" s="153"/>
      <c r="G297" s="257">
        <v>0</v>
      </c>
      <c r="H297" s="153"/>
      <c r="I297" s="258">
        <v>0</v>
      </c>
      <c r="J297" s="153"/>
    </row>
    <row r="298" spans="1:10" ht="12.75" customHeight="1">
      <c r="A298" s="220" t="s">
        <v>150</v>
      </c>
      <c r="B298" s="152"/>
      <c r="C298" s="152"/>
      <c r="D298" s="153"/>
      <c r="E298" s="239">
        <v>0</v>
      </c>
      <c r="F298" s="153"/>
      <c r="G298" s="239">
        <v>0</v>
      </c>
      <c r="H298" s="153"/>
      <c r="I298" s="240">
        <v>0</v>
      </c>
      <c r="J298" s="153"/>
    </row>
    <row r="299" spans="1:10" ht="12.75" customHeight="1">
      <c r="A299" s="241" t="s">
        <v>151</v>
      </c>
      <c r="B299" s="152"/>
      <c r="C299" s="152"/>
      <c r="D299" s="153"/>
      <c r="E299" s="264">
        <v>0</v>
      </c>
      <c r="F299" s="153"/>
      <c r="G299" s="257">
        <v>0</v>
      </c>
      <c r="H299" s="153"/>
      <c r="I299" s="258">
        <v>0</v>
      </c>
      <c r="J299" s="153"/>
    </row>
    <row r="300" spans="1:10" ht="12.75" customHeight="1">
      <c r="A300" s="220" t="s">
        <v>152</v>
      </c>
      <c r="B300" s="152"/>
      <c r="C300" s="152"/>
      <c r="D300" s="153"/>
      <c r="E300" s="262"/>
      <c r="F300" s="153"/>
      <c r="G300" s="262"/>
      <c r="H300" s="153"/>
      <c r="I300" s="263"/>
      <c r="J300" s="153"/>
    </row>
    <row r="301" spans="1:10" ht="12.75" customHeight="1">
      <c r="A301" s="265"/>
      <c r="B301" s="152"/>
      <c r="C301" s="152"/>
      <c r="D301" s="153"/>
      <c r="E301" s="264"/>
      <c r="F301" s="153"/>
      <c r="G301" s="257"/>
      <c r="H301" s="153"/>
      <c r="I301" s="257"/>
      <c r="J301" s="153"/>
    </row>
    <row r="302" spans="1:10" ht="12.75" customHeight="1">
      <c r="A302" s="265"/>
      <c r="B302" s="152"/>
      <c r="C302" s="152"/>
      <c r="D302" s="153"/>
      <c r="E302" s="264"/>
      <c r="F302" s="153"/>
      <c r="G302" s="257"/>
      <c r="H302" s="153"/>
      <c r="I302" s="257"/>
      <c r="J302" s="153"/>
    </row>
    <row r="303" spans="1:10" ht="12.75" customHeight="1">
      <c r="A303" s="265"/>
      <c r="B303" s="152"/>
      <c r="C303" s="152"/>
      <c r="D303" s="153"/>
      <c r="E303" s="264"/>
      <c r="F303" s="153"/>
      <c r="G303" s="257"/>
      <c r="H303" s="153"/>
      <c r="I303" s="257"/>
      <c r="J303" s="153"/>
    </row>
    <row r="304" spans="1:10" ht="12.75" customHeight="1">
      <c r="A304" s="222" t="s">
        <v>153</v>
      </c>
      <c r="B304" s="152"/>
      <c r="C304" s="152"/>
      <c r="D304" s="153"/>
      <c r="E304" s="266">
        <f>SUM(E294:E303)</f>
        <v>260424</v>
      </c>
      <c r="F304" s="153"/>
      <c r="G304" s="266">
        <f>SUM(G294:G303)</f>
        <v>0</v>
      </c>
      <c r="H304" s="153"/>
      <c r="I304" s="266">
        <f>SUM(I294:I303)</f>
        <v>0</v>
      </c>
      <c r="J304" s="153"/>
    </row>
    <row r="305" spans="1:10" ht="12.75" customHeight="1">
      <c r="A305" s="267" t="s">
        <v>154</v>
      </c>
      <c r="B305" s="163"/>
      <c r="C305" s="163"/>
      <c r="D305" s="163"/>
      <c r="E305" s="163"/>
      <c r="F305" s="163"/>
      <c r="G305" s="163"/>
      <c r="H305" s="163"/>
      <c r="I305" s="163"/>
      <c r="J305" s="164"/>
    </row>
    <row r="306" spans="1:10" ht="12.75" customHeight="1">
      <c r="A306" s="268" t="s">
        <v>155</v>
      </c>
      <c r="B306" s="171"/>
      <c r="C306" s="171"/>
      <c r="D306" s="171"/>
      <c r="E306" s="171"/>
      <c r="F306" s="171"/>
      <c r="G306" s="171"/>
      <c r="H306" s="171"/>
      <c r="I306" s="171"/>
      <c r="J306" s="172"/>
    </row>
    <row r="307" spans="1:10" ht="12.75" customHeight="1">
      <c r="A307" s="268" t="s">
        <v>156</v>
      </c>
      <c r="B307" s="171"/>
      <c r="C307" s="171"/>
      <c r="D307" s="171"/>
      <c r="E307" s="171"/>
      <c r="F307" s="171"/>
      <c r="G307" s="171"/>
      <c r="H307" s="171"/>
      <c r="I307" s="171"/>
      <c r="J307" s="172"/>
    </row>
    <row r="308" spans="1:10" ht="12.75" customHeight="1">
      <c r="A308" s="260" t="s">
        <v>157</v>
      </c>
      <c r="B308" s="149"/>
      <c r="C308" s="149"/>
      <c r="D308" s="149"/>
      <c r="E308" s="149"/>
      <c r="F308" s="149"/>
      <c r="G308" s="149"/>
      <c r="H308" s="149"/>
      <c r="I308" s="149"/>
      <c r="J308" s="150"/>
    </row>
    <row r="309" spans="1:10" ht="12.75" customHeight="1">
      <c r="A309" s="196" t="s">
        <v>975</v>
      </c>
      <c r="B309" s="197"/>
      <c r="C309" s="197"/>
      <c r="D309" s="197"/>
      <c r="E309" s="197"/>
      <c r="F309" s="197"/>
      <c r="G309" s="197"/>
      <c r="H309" s="197"/>
      <c r="I309" s="197"/>
      <c r="J309" s="198"/>
    </row>
    <row r="310" spans="1:10" ht="12.75" customHeight="1">
      <c r="A310" s="158"/>
      <c r="B310" s="156"/>
      <c r="C310" s="156"/>
      <c r="D310" s="156"/>
      <c r="E310" s="156"/>
      <c r="F310" s="156"/>
      <c r="G310" s="156"/>
      <c r="H310" s="156"/>
      <c r="I310" s="156"/>
      <c r="J310" s="157"/>
    </row>
    <row r="311" spans="1:10" ht="12.75" customHeight="1">
      <c r="A311" s="158"/>
      <c r="B311" s="156"/>
      <c r="C311" s="156"/>
      <c r="D311" s="156"/>
      <c r="E311" s="156"/>
      <c r="F311" s="156"/>
      <c r="G311" s="156"/>
      <c r="H311" s="156"/>
      <c r="I311" s="156"/>
      <c r="J311" s="157"/>
    </row>
    <row r="312" spans="1:10" ht="12.75" customHeight="1">
      <c r="A312" s="158"/>
      <c r="B312" s="156"/>
      <c r="C312" s="156"/>
      <c r="D312" s="156"/>
      <c r="E312" s="156"/>
      <c r="F312" s="156"/>
      <c r="G312" s="156"/>
      <c r="H312" s="156"/>
      <c r="I312" s="156"/>
      <c r="J312" s="157"/>
    </row>
    <row r="313" spans="1:10" ht="12.75" customHeight="1">
      <c r="A313" s="158"/>
      <c r="B313" s="156"/>
      <c r="C313" s="156"/>
      <c r="D313" s="156"/>
      <c r="E313" s="156"/>
      <c r="F313" s="156"/>
      <c r="G313" s="156"/>
      <c r="H313" s="156"/>
      <c r="I313" s="156"/>
      <c r="J313" s="157"/>
    </row>
    <row r="314" spans="1:10" ht="12.75" customHeight="1">
      <c r="A314" s="158"/>
      <c r="B314" s="156"/>
      <c r="C314" s="156"/>
      <c r="D314" s="156"/>
      <c r="E314" s="156"/>
      <c r="F314" s="156"/>
      <c r="G314" s="156"/>
      <c r="H314" s="156"/>
      <c r="I314" s="156"/>
      <c r="J314" s="157"/>
    </row>
    <row r="315" spans="1:10" ht="12.75" customHeight="1">
      <c r="A315" s="158"/>
      <c r="B315" s="156"/>
      <c r="C315" s="156"/>
      <c r="D315" s="156"/>
      <c r="E315" s="156"/>
      <c r="F315" s="156"/>
      <c r="G315" s="156"/>
      <c r="H315" s="156"/>
      <c r="I315" s="156"/>
      <c r="J315" s="157"/>
    </row>
    <row r="316" spans="1:10" ht="12.75" customHeight="1">
      <c r="A316" s="158"/>
      <c r="B316" s="156"/>
      <c r="C316" s="156"/>
      <c r="D316" s="156"/>
      <c r="E316" s="156"/>
      <c r="F316" s="156"/>
      <c r="G316" s="156"/>
      <c r="H316" s="156"/>
      <c r="I316" s="156"/>
      <c r="J316" s="157"/>
    </row>
    <row r="317" spans="1:10" ht="12.75" customHeight="1">
      <c r="A317" s="158"/>
      <c r="B317" s="156"/>
      <c r="C317" s="156"/>
      <c r="D317" s="156"/>
      <c r="E317" s="156"/>
      <c r="F317" s="156"/>
      <c r="G317" s="156"/>
      <c r="H317" s="156"/>
      <c r="I317" s="156"/>
      <c r="J317" s="157"/>
    </row>
    <row r="318" spans="1:10" ht="12.75" customHeight="1">
      <c r="A318" s="158"/>
      <c r="B318" s="156"/>
      <c r="C318" s="156"/>
      <c r="D318" s="156"/>
      <c r="E318" s="156"/>
      <c r="F318" s="156"/>
      <c r="G318" s="156"/>
      <c r="H318" s="156"/>
      <c r="I318" s="156"/>
      <c r="J318" s="157"/>
    </row>
    <row r="319" spans="1:10" ht="12.75" customHeight="1">
      <c r="A319" s="158"/>
      <c r="B319" s="156"/>
      <c r="C319" s="156"/>
      <c r="D319" s="156"/>
      <c r="E319" s="156"/>
      <c r="F319" s="156"/>
      <c r="G319" s="156"/>
      <c r="H319" s="156"/>
      <c r="I319" s="156"/>
      <c r="J319" s="157"/>
    </row>
    <row r="320" spans="1:10" ht="12.75" customHeight="1">
      <c r="A320" s="158"/>
      <c r="B320" s="156"/>
      <c r="C320" s="156"/>
      <c r="D320" s="156"/>
      <c r="E320" s="156"/>
      <c r="F320" s="156"/>
      <c r="G320" s="156"/>
      <c r="H320" s="156"/>
      <c r="I320" s="156"/>
      <c r="J320" s="157"/>
    </row>
    <row r="321" spans="1:10" ht="12.75" customHeight="1">
      <c r="A321" s="158"/>
      <c r="B321" s="156"/>
      <c r="C321" s="156"/>
      <c r="D321" s="156"/>
      <c r="E321" s="156"/>
      <c r="F321" s="156"/>
      <c r="G321" s="156"/>
      <c r="H321" s="156"/>
      <c r="I321" s="156"/>
      <c r="J321" s="157"/>
    </row>
    <row r="322" spans="1:10" ht="12.75" customHeight="1">
      <c r="A322" s="158"/>
      <c r="B322" s="156"/>
      <c r="C322" s="156"/>
      <c r="D322" s="156"/>
      <c r="E322" s="156"/>
      <c r="F322" s="156"/>
      <c r="G322" s="156"/>
      <c r="H322" s="156"/>
      <c r="I322" s="156"/>
      <c r="J322" s="157"/>
    </row>
    <row r="323" spans="1:10" ht="12.75" customHeight="1">
      <c r="A323" s="158"/>
      <c r="B323" s="156"/>
      <c r="C323" s="156"/>
      <c r="D323" s="156"/>
      <c r="E323" s="156"/>
      <c r="F323" s="156"/>
      <c r="G323" s="156"/>
      <c r="H323" s="156"/>
      <c r="I323" s="156"/>
      <c r="J323" s="157"/>
    </row>
    <row r="324" spans="1:10" ht="12.75" customHeight="1">
      <c r="A324" s="158"/>
      <c r="B324" s="156"/>
      <c r="C324" s="156"/>
      <c r="D324" s="156"/>
      <c r="E324" s="156"/>
      <c r="F324" s="156"/>
      <c r="G324" s="156"/>
      <c r="H324" s="156"/>
      <c r="I324" s="156"/>
      <c r="J324" s="157"/>
    </row>
    <row r="325" spans="1:10" ht="12.75" customHeight="1">
      <c r="A325" s="158"/>
      <c r="B325" s="156"/>
      <c r="C325" s="156"/>
      <c r="D325" s="156"/>
      <c r="E325" s="156"/>
      <c r="F325" s="156"/>
      <c r="G325" s="156"/>
      <c r="H325" s="156"/>
      <c r="I325" s="156"/>
      <c r="J325" s="157"/>
    </row>
    <row r="326" spans="1:10" ht="12.75" customHeight="1">
      <c r="A326" s="158"/>
      <c r="B326" s="156"/>
      <c r="C326" s="156"/>
      <c r="D326" s="156"/>
      <c r="E326" s="156"/>
      <c r="F326" s="156"/>
      <c r="G326" s="156"/>
      <c r="H326" s="156"/>
      <c r="I326" s="156"/>
      <c r="J326" s="157"/>
    </row>
    <row r="327" spans="1:10" ht="12.75" customHeight="1">
      <c r="A327" s="158"/>
      <c r="B327" s="156"/>
      <c r="C327" s="156"/>
      <c r="D327" s="156"/>
      <c r="E327" s="156"/>
      <c r="F327" s="156"/>
      <c r="G327" s="156"/>
      <c r="H327" s="156"/>
      <c r="I327" s="156"/>
      <c r="J327" s="157"/>
    </row>
    <row r="328" spans="1:10" ht="12.75" customHeight="1">
      <c r="A328" s="158"/>
      <c r="B328" s="156"/>
      <c r="C328" s="156"/>
      <c r="D328" s="156"/>
      <c r="E328" s="156"/>
      <c r="F328" s="156"/>
      <c r="G328" s="156"/>
      <c r="H328" s="156"/>
      <c r="I328" s="156"/>
      <c r="J328" s="157"/>
    </row>
    <row r="329" spans="1:10" ht="12.75" customHeight="1">
      <c r="A329" s="158"/>
      <c r="B329" s="156"/>
      <c r="C329" s="156"/>
      <c r="D329" s="156"/>
      <c r="E329" s="156"/>
      <c r="F329" s="156"/>
      <c r="G329" s="156"/>
      <c r="H329" s="156"/>
      <c r="I329" s="156"/>
      <c r="J329" s="157"/>
    </row>
    <row r="330" spans="1:10" ht="12.75" customHeight="1">
      <c r="A330" s="158"/>
      <c r="B330" s="156"/>
      <c r="C330" s="156"/>
      <c r="D330" s="156"/>
      <c r="E330" s="156"/>
      <c r="F330" s="156"/>
      <c r="G330" s="156"/>
      <c r="H330" s="156"/>
      <c r="I330" s="156"/>
      <c r="J330" s="157"/>
    </row>
    <row r="331" spans="1:10" ht="12.75" customHeight="1">
      <c r="A331" s="158"/>
      <c r="B331" s="156"/>
      <c r="C331" s="156"/>
      <c r="D331" s="156"/>
      <c r="E331" s="156"/>
      <c r="F331" s="156"/>
      <c r="G331" s="156"/>
      <c r="H331" s="156"/>
      <c r="I331" s="156"/>
      <c r="J331" s="157"/>
    </row>
    <row r="332" spans="1:10" ht="12.75" customHeight="1">
      <c r="A332" s="158"/>
      <c r="B332" s="156"/>
      <c r="C332" s="156"/>
      <c r="D332" s="156"/>
      <c r="E332" s="156"/>
      <c r="F332" s="156"/>
      <c r="G332" s="156"/>
      <c r="H332" s="156"/>
      <c r="I332" s="156"/>
      <c r="J332" s="157"/>
    </row>
    <row r="333" spans="1:10" ht="12.75" customHeight="1">
      <c r="A333" s="158"/>
      <c r="B333" s="156"/>
      <c r="C333" s="156"/>
      <c r="D333" s="156"/>
      <c r="E333" s="156"/>
      <c r="F333" s="156"/>
      <c r="G333" s="156"/>
      <c r="H333" s="156"/>
      <c r="I333" s="156"/>
      <c r="J333" s="157"/>
    </row>
    <row r="334" spans="1:10" ht="12.75" customHeight="1">
      <c r="A334" s="158"/>
      <c r="B334" s="156"/>
      <c r="C334" s="156"/>
      <c r="D334" s="156"/>
      <c r="E334" s="156"/>
      <c r="F334" s="156"/>
      <c r="G334" s="156"/>
      <c r="H334" s="156"/>
      <c r="I334" s="156"/>
      <c r="J334" s="157"/>
    </row>
    <row r="335" spans="1:10" ht="12.75" customHeight="1">
      <c r="A335" s="158"/>
      <c r="B335" s="156"/>
      <c r="C335" s="156"/>
      <c r="D335" s="156"/>
      <c r="E335" s="156"/>
      <c r="F335" s="156"/>
      <c r="G335" s="156"/>
      <c r="H335" s="156"/>
      <c r="I335" s="156"/>
      <c r="J335" s="157"/>
    </row>
    <row r="336" spans="1:10" ht="12.75" customHeight="1">
      <c r="A336" s="158"/>
      <c r="B336" s="156"/>
      <c r="C336" s="156"/>
      <c r="D336" s="156"/>
      <c r="E336" s="156"/>
      <c r="F336" s="156"/>
      <c r="G336" s="156"/>
      <c r="H336" s="156"/>
      <c r="I336" s="156"/>
      <c r="J336" s="157"/>
    </row>
    <row r="337" spans="1:10" ht="12.75" customHeight="1">
      <c r="A337" s="158"/>
      <c r="B337" s="156"/>
      <c r="C337" s="156"/>
      <c r="D337" s="156"/>
      <c r="E337" s="156"/>
      <c r="F337" s="156"/>
      <c r="G337" s="156"/>
      <c r="H337" s="156"/>
      <c r="I337" s="156"/>
      <c r="J337" s="157"/>
    </row>
    <row r="338" spans="1:10" ht="12.75" customHeight="1">
      <c r="A338" s="158"/>
      <c r="B338" s="156"/>
      <c r="C338" s="156"/>
      <c r="D338" s="156"/>
      <c r="E338" s="156"/>
      <c r="F338" s="156"/>
      <c r="G338" s="156"/>
      <c r="H338" s="156"/>
      <c r="I338" s="156"/>
      <c r="J338" s="157"/>
    </row>
    <row r="339" spans="1:10" ht="12.75" customHeight="1">
      <c r="A339" s="158"/>
      <c r="B339" s="156"/>
      <c r="C339" s="156"/>
      <c r="D339" s="156"/>
      <c r="E339" s="156"/>
      <c r="F339" s="156"/>
      <c r="G339" s="156"/>
      <c r="H339" s="156"/>
      <c r="I339" s="156"/>
      <c r="J339" s="157"/>
    </row>
    <row r="340" spans="1:10" ht="12.75" customHeight="1">
      <c r="A340" s="158"/>
      <c r="B340" s="156"/>
      <c r="C340" s="156"/>
      <c r="D340" s="156"/>
      <c r="E340" s="156"/>
      <c r="F340" s="156"/>
      <c r="G340" s="156"/>
      <c r="H340" s="156"/>
      <c r="I340" s="156"/>
      <c r="J340" s="157"/>
    </row>
    <row r="341" spans="1:10" ht="12.75" customHeight="1">
      <c r="A341" s="158"/>
      <c r="B341" s="156"/>
      <c r="C341" s="156"/>
      <c r="D341" s="156"/>
      <c r="E341" s="156"/>
      <c r="F341" s="156"/>
      <c r="G341" s="156"/>
      <c r="H341" s="156"/>
      <c r="I341" s="156"/>
      <c r="J341" s="157"/>
    </row>
    <row r="342" spans="1:10" ht="12.75" customHeight="1">
      <c r="A342" s="158"/>
      <c r="B342" s="156"/>
      <c r="C342" s="156"/>
      <c r="D342" s="156"/>
      <c r="E342" s="156"/>
      <c r="F342" s="156"/>
      <c r="G342" s="156"/>
      <c r="H342" s="156"/>
      <c r="I342" s="156"/>
      <c r="J342" s="157"/>
    </row>
    <row r="343" spans="1:10" ht="12.75" customHeight="1">
      <c r="A343" s="199"/>
      <c r="B343" s="167"/>
      <c r="C343" s="167"/>
      <c r="D343" s="167"/>
      <c r="E343" s="167"/>
      <c r="F343" s="167"/>
      <c r="G343" s="167"/>
      <c r="H343" s="167"/>
      <c r="I343" s="167"/>
      <c r="J343" s="168"/>
    </row>
    <row r="344" spans="1:10" ht="12.75" customHeight="1"/>
    <row r="345" spans="1:10" ht="12.75" customHeight="1">
      <c r="A345" s="207" t="s">
        <v>65</v>
      </c>
      <c r="B345" s="152"/>
      <c r="C345" s="152"/>
      <c r="D345" s="152"/>
      <c r="E345" s="152"/>
      <c r="F345" s="152"/>
      <c r="G345" s="181"/>
      <c r="H345" s="208" t="str">
        <f>'CONTACT INFORMATION'!$A$24</f>
        <v>Humboldt</v>
      </c>
      <c r="I345" s="152"/>
      <c r="J345" s="153"/>
    </row>
    <row r="346" spans="1:10" ht="7.5" customHeight="1">
      <c r="A346" s="107"/>
      <c r="B346" s="107"/>
      <c r="C346" s="107"/>
      <c r="D346" s="107"/>
      <c r="E346" s="107"/>
      <c r="F346" s="107"/>
      <c r="G346" s="107"/>
      <c r="H346" s="107"/>
      <c r="I346" s="107"/>
      <c r="J346" s="107"/>
    </row>
    <row r="347" spans="1:10" ht="12.75" customHeight="1">
      <c r="A347" s="251" t="s">
        <v>165</v>
      </c>
      <c r="B347" s="152"/>
      <c r="C347" s="152"/>
      <c r="D347" s="152"/>
      <c r="E347" s="152"/>
      <c r="F347" s="152"/>
      <c r="G347" s="152"/>
      <c r="H347" s="152"/>
      <c r="I347" s="152"/>
      <c r="J347" s="153"/>
    </row>
    <row r="348" spans="1:10" ht="12.75" customHeight="1">
      <c r="A348" s="252" t="s">
        <v>140</v>
      </c>
      <c r="B348" s="163"/>
      <c r="C348" s="163"/>
      <c r="D348" s="164"/>
      <c r="E348" s="269" t="s">
        <v>964</v>
      </c>
      <c r="F348" s="197"/>
      <c r="G348" s="197"/>
      <c r="H348" s="197"/>
      <c r="I348" s="197"/>
      <c r="J348" s="198"/>
    </row>
    <row r="349" spans="1:10" ht="12.75" customHeight="1">
      <c r="A349" s="254" t="s">
        <v>161</v>
      </c>
      <c r="B349" s="149"/>
      <c r="C349" s="149"/>
      <c r="D349" s="150"/>
      <c r="E349" s="199"/>
      <c r="F349" s="167"/>
      <c r="G349" s="167"/>
      <c r="H349" s="167"/>
      <c r="I349" s="167"/>
      <c r="J349" s="168"/>
    </row>
    <row r="350" spans="1:10" ht="12.75" customHeight="1">
      <c r="A350" s="259" t="s">
        <v>166</v>
      </c>
      <c r="B350" s="152"/>
      <c r="C350" s="152"/>
      <c r="D350" s="153"/>
      <c r="E350" s="221" t="s">
        <v>96</v>
      </c>
      <c r="F350" s="152"/>
      <c r="G350" s="152"/>
      <c r="H350" s="152"/>
      <c r="I350" s="152"/>
      <c r="J350" s="153"/>
    </row>
    <row r="351" spans="1:10" ht="27" customHeight="1">
      <c r="A351" s="108"/>
      <c r="B351" s="104"/>
      <c r="C351" s="104"/>
      <c r="D351" s="104"/>
      <c r="E351" s="255" t="s">
        <v>143</v>
      </c>
      <c r="F351" s="167"/>
      <c r="G351" s="255" t="s">
        <v>144</v>
      </c>
      <c r="H351" s="167"/>
      <c r="I351" s="256" t="s">
        <v>145</v>
      </c>
      <c r="J351" s="168"/>
    </row>
    <row r="352" spans="1:10" ht="12.75" customHeight="1">
      <c r="A352" s="220" t="s">
        <v>146</v>
      </c>
      <c r="B352" s="152"/>
      <c r="C352" s="152"/>
      <c r="D352" s="153"/>
      <c r="E352" s="239">
        <v>0</v>
      </c>
      <c r="F352" s="153"/>
      <c r="G352" s="239">
        <v>0</v>
      </c>
      <c r="H352" s="153"/>
      <c r="I352" s="240">
        <v>0</v>
      </c>
      <c r="J352" s="153"/>
    </row>
    <row r="353" spans="1:10" ht="12.75" customHeight="1">
      <c r="A353" s="241" t="s">
        <v>147</v>
      </c>
      <c r="B353" s="152"/>
      <c r="C353" s="152"/>
      <c r="D353" s="153"/>
      <c r="E353" s="264">
        <v>0</v>
      </c>
      <c r="F353" s="153"/>
      <c r="G353" s="257">
        <v>0</v>
      </c>
      <c r="H353" s="153"/>
      <c r="I353" s="258">
        <v>0</v>
      </c>
      <c r="J353" s="153"/>
    </row>
    <row r="354" spans="1:10" ht="12.75" customHeight="1">
      <c r="A354" s="220" t="s">
        <v>148</v>
      </c>
      <c r="B354" s="152"/>
      <c r="C354" s="152"/>
      <c r="D354" s="153"/>
      <c r="E354" s="239">
        <v>0</v>
      </c>
      <c r="F354" s="153"/>
      <c r="G354" s="239">
        <v>0</v>
      </c>
      <c r="H354" s="153"/>
      <c r="I354" s="240">
        <v>0</v>
      </c>
      <c r="J354" s="153"/>
    </row>
    <row r="355" spans="1:10" ht="12.75" customHeight="1">
      <c r="A355" s="241" t="s">
        <v>149</v>
      </c>
      <c r="B355" s="152"/>
      <c r="C355" s="152"/>
      <c r="D355" s="153"/>
      <c r="E355" s="264">
        <v>0</v>
      </c>
      <c r="F355" s="153"/>
      <c r="G355" s="257">
        <v>11136</v>
      </c>
      <c r="H355" s="153"/>
      <c r="I355" s="258">
        <v>0</v>
      </c>
      <c r="J355" s="153"/>
    </row>
    <row r="356" spans="1:10" ht="12.75" customHeight="1">
      <c r="A356" s="220" t="s">
        <v>150</v>
      </c>
      <c r="B356" s="152"/>
      <c r="C356" s="152"/>
      <c r="D356" s="153"/>
      <c r="E356" s="239">
        <v>0</v>
      </c>
      <c r="F356" s="153"/>
      <c r="G356" s="239">
        <v>0</v>
      </c>
      <c r="H356" s="153"/>
      <c r="I356" s="240">
        <v>0</v>
      </c>
      <c r="J356" s="153"/>
    </row>
    <row r="357" spans="1:10" ht="12.75" customHeight="1">
      <c r="A357" s="241" t="s">
        <v>151</v>
      </c>
      <c r="B357" s="152"/>
      <c r="C357" s="152"/>
      <c r="D357" s="153"/>
      <c r="E357" s="264">
        <v>0</v>
      </c>
      <c r="F357" s="153"/>
      <c r="G357" s="257">
        <v>0</v>
      </c>
      <c r="H357" s="153"/>
      <c r="I357" s="258">
        <v>0</v>
      </c>
      <c r="J357" s="153"/>
    </row>
    <row r="358" spans="1:10" ht="12.75" customHeight="1">
      <c r="A358" s="220" t="s">
        <v>152</v>
      </c>
      <c r="B358" s="152"/>
      <c r="C358" s="152"/>
      <c r="D358" s="153"/>
      <c r="E358" s="262"/>
      <c r="F358" s="153"/>
      <c r="G358" s="262"/>
      <c r="H358" s="153"/>
      <c r="I358" s="263"/>
      <c r="J358" s="153"/>
    </row>
    <row r="359" spans="1:10" ht="12.75" customHeight="1">
      <c r="A359" s="265"/>
      <c r="B359" s="152"/>
      <c r="C359" s="152"/>
      <c r="D359" s="153"/>
      <c r="E359" s="264"/>
      <c r="F359" s="153"/>
      <c r="G359" s="257"/>
      <c r="H359" s="153"/>
      <c r="I359" s="257"/>
      <c r="J359" s="153"/>
    </row>
    <row r="360" spans="1:10" ht="12.75" customHeight="1">
      <c r="A360" s="265"/>
      <c r="B360" s="152"/>
      <c r="C360" s="152"/>
      <c r="D360" s="153"/>
      <c r="E360" s="264"/>
      <c r="F360" s="153"/>
      <c r="G360" s="257"/>
      <c r="H360" s="153"/>
      <c r="I360" s="257"/>
      <c r="J360" s="153"/>
    </row>
    <row r="361" spans="1:10" ht="12.75" customHeight="1">
      <c r="A361" s="265"/>
      <c r="B361" s="152"/>
      <c r="C361" s="152"/>
      <c r="D361" s="153"/>
      <c r="E361" s="264"/>
      <c r="F361" s="153"/>
      <c r="G361" s="257"/>
      <c r="H361" s="153"/>
      <c r="I361" s="257"/>
      <c r="J361" s="153"/>
    </row>
    <row r="362" spans="1:10" ht="12.75" customHeight="1">
      <c r="A362" s="222" t="s">
        <v>153</v>
      </c>
      <c r="B362" s="152"/>
      <c r="C362" s="152"/>
      <c r="D362" s="153"/>
      <c r="E362" s="266">
        <f>SUM(E352:E361)</f>
        <v>0</v>
      </c>
      <c r="F362" s="153"/>
      <c r="G362" s="266">
        <f>SUM(G352:G361)</f>
        <v>11136</v>
      </c>
      <c r="H362" s="153"/>
      <c r="I362" s="266">
        <f>SUM(I352:I361)</f>
        <v>0</v>
      </c>
      <c r="J362" s="153"/>
    </row>
    <row r="363" spans="1:10" ht="12.75" customHeight="1">
      <c r="A363" s="267" t="s">
        <v>154</v>
      </c>
      <c r="B363" s="163"/>
      <c r="C363" s="163"/>
      <c r="D363" s="163"/>
      <c r="E363" s="163"/>
      <c r="F363" s="163"/>
      <c r="G363" s="163"/>
      <c r="H363" s="163"/>
      <c r="I363" s="163"/>
      <c r="J363" s="164"/>
    </row>
    <row r="364" spans="1:10" ht="12.75" customHeight="1">
      <c r="A364" s="268" t="s">
        <v>155</v>
      </c>
      <c r="B364" s="171"/>
      <c r="C364" s="171"/>
      <c r="D364" s="171"/>
      <c r="E364" s="171"/>
      <c r="F364" s="171"/>
      <c r="G364" s="171"/>
      <c r="H364" s="171"/>
      <c r="I364" s="171"/>
      <c r="J364" s="172"/>
    </row>
    <row r="365" spans="1:10" ht="12.75" customHeight="1">
      <c r="A365" s="268" t="s">
        <v>156</v>
      </c>
      <c r="B365" s="171"/>
      <c r="C365" s="171"/>
      <c r="D365" s="171"/>
      <c r="E365" s="171"/>
      <c r="F365" s="171"/>
      <c r="G365" s="171"/>
      <c r="H365" s="171"/>
      <c r="I365" s="171"/>
      <c r="J365" s="172"/>
    </row>
    <row r="366" spans="1:10" ht="12.75" customHeight="1">
      <c r="A366" s="260" t="s">
        <v>157</v>
      </c>
      <c r="B366" s="149"/>
      <c r="C366" s="149"/>
      <c r="D366" s="149"/>
      <c r="E366" s="149"/>
      <c r="F366" s="149"/>
      <c r="G366" s="149"/>
      <c r="H366" s="149"/>
      <c r="I366" s="149"/>
      <c r="J366" s="150"/>
    </row>
    <row r="367" spans="1:10" ht="12.75" customHeight="1">
      <c r="A367" s="196" t="s">
        <v>968</v>
      </c>
      <c r="B367" s="197"/>
      <c r="C367" s="197"/>
      <c r="D367" s="197"/>
      <c r="E367" s="197"/>
      <c r="F367" s="197"/>
      <c r="G367" s="197"/>
      <c r="H367" s="197"/>
      <c r="I367" s="197"/>
      <c r="J367" s="198"/>
    </row>
    <row r="368" spans="1:10" ht="12.75" customHeight="1">
      <c r="A368" s="158"/>
      <c r="B368" s="156"/>
      <c r="C368" s="156"/>
      <c r="D368" s="156"/>
      <c r="E368" s="156"/>
      <c r="F368" s="156"/>
      <c r="G368" s="156"/>
      <c r="H368" s="156"/>
      <c r="I368" s="156"/>
      <c r="J368" s="157"/>
    </row>
    <row r="369" spans="1:10" ht="12.75" customHeight="1">
      <c r="A369" s="158"/>
      <c r="B369" s="156"/>
      <c r="C369" s="156"/>
      <c r="D369" s="156"/>
      <c r="E369" s="156"/>
      <c r="F369" s="156"/>
      <c r="G369" s="156"/>
      <c r="H369" s="156"/>
      <c r="I369" s="156"/>
      <c r="J369" s="157"/>
    </row>
    <row r="370" spans="1:10" ht="12.75" customHeight="1">
      <c r="A370" s="158"/>
      <c r="B370" s="156"/>
      <c r="C370" s="156"/>
      <c r="D370" s="156"/>
      <c r="E370" s="156"/>
      <c r="F370" s="156"/>
      <c r="G370" s="156"/>
      <c r="H370" s="156"/>
      <c r="I370" s="156"/>
      <c r="J370" s="157"/>
    </row>
    <row r="371" spans="1:10" ht="12.75" customHeight="1">
      <c r="A371" s="158"/>
      <c r="B371" s="156"/>
      <c r="C371" s="156"/>
      <c r="D371" s="156"/>
      <c r="E371" s="156"/>
      <c r="F371" s="156"/>
      <c r="G371" s="156"/>
      <c r="H371" s="156"/>
      <c r="I371" s="156"/>
      <c r="J371" s="157"/>
    </row>
    <row r="372" spans="1:10" ht="12.75" customHeight="1">
      <c r="A372" s="158"/>
      <c r="B372" s="156"/>
      <c r="C372" s="156"/>
      <c r="D372" s="156"/>
      <c r="E372" s="156"/>
      <c r="F372" s="156"/>
      <c r="G372" s="156"/>
      <c r="H372" s="156"/>
      <c r="I372" s="156"/>
      <c r="J372" s="157"/>
    </row>
    <row r="373" spans="1:10" ht="12.75" customHeight="1">
      <c r="A373" s="158"/>
      <c r="B373" s="156"/>
      <c r="C373" s="156"/>
      <c r="D373" s="156"/>
      <c r="E373" s="156"/>
      <c r="F373" s="156"/>
      <c r="G373" s="156"/>
      <c r="H373" s="156"/>
      <c r="I373" s="156"/>
      <c r="J373" s="157"/>
    </row>
    <row r="374" spans="1:10" ht="12.75" customHeight="1">
      <c r="A374" s="158"/>
      <c r="B374" s="156"/>
      <c r="C374" s="156"/>
      <c r="D374" s="156"/>
      <c r="E374" s="156"/>
      <c r="F374" s="156"/>
      <c r="G374" s="156"/>
      <c r="H374" s="156"/>
      <c r="I374" s="156"/>
      <c r="J374" s="157"/>
    </row>
    <row r="375" spans="1:10" ht="12.75" customHeight="1">
      <c r="A375" s="158"/>
      <c r="B375" s="156"/>
      <c r="C375" s="156"/>
      <c r="D375" s="156"/>
      <c r="E375" s="156"/>
      <c r="F375" s="156"/>
      <c r="G375" s="156"/>
      <c r="H375" s="156"/>
      <c r="I375" s="156"/>
      <c r="J375" s="157"/>
    </row>
    <row r="376" spans="1:10" ht="12.75" customHeight="1">
      <c r="A376" s="158"/>
      <c r="B376" s="156"/>
      <c r="C376" s="156"/>
      <c r="D376" s="156"/>
      <c r="E376" s="156"/>
      <c r="F376" s="156"/>
      <c r="G376" s="156"/>
      <c r="H376" s="156"/>
      <c r="I376" s="156"/>
      <c r="J376" s="157"/>
    </row>
    <row r="377" spans="1:10" ht="12.75" customHeight="1">
      <c r="A377" s="158"/>
      <c r="B377" s="156"/>
      <c r="C377" s="156"/>
      <c r="D377" s="156"/>
      <c r="E377" s="156"/>
      <c r="F377" s="156"/>
      <c r="G377" s="156"/>
      <c r="H377" s="156"/>
      <c r="I377" s="156"/>
      <c r="J377" s="157"/>
    </row>
    <row r="378" spans="1:10" ht="12.75" customHeight="1">
      <c r="A378" s="158"/>
      <c r="B378" s="156"/>
      <c r="C378" s="156"/>
      <c r="D378" s="156"/>
      <c r="E378" s="156"/>
      <c r="F378" s="156"/>
      <c r="G378" s="156"/>
      <c r="H378" s="156"/>
      <c r="I378" s="156"/>
      <c r="J378" s="157"/>
    </row>
    <row r="379" spans="1:10" ht="12.75" customHeight="1">
      <c r="A379" s="158"/>
      <c r="B379" s="156"/>
      <c r="C379" s="156"/>
      <c r="D379" s="156"/>
      <c r="E379" s="156"/>
      <c r="F379" s="156"/>
      <c r="G379" s="156"/>
      <c r="H379" s="156"/>
      <c r="I379" s="156"/>
      <c r="J379" s="157"/>
    </row>
    <row r="380" spans="1:10" ht="12.75" customHeight="1">
      <c r="A380" s="158"/>
      <c r="B380" s="156"/>
      <c r="C380" s="156"/>
      <c r="D380" s="156"/>
      <c r="E380" s="156"/>
      <c r="F380" s="156"/>
      <c r="G380" s="156"/>
      <c r="H380" s="156"/>
      <c r="I380" s="156"/>
      <c r="J380" s="157"/>
    </row>
    <row r="381" spans="1:10" ht="12.75" customHeight="1">
      <c r="A381" s="158"/>
      <c r="B381" s="156"/>
      <c r="C381" s="156"/>
      <c r="D381" s="156"/>
      <c r="E381" s="156"/>
      <c r="F381" s="156"/>
      <c r="G381" s="156"/>
      <c r="H381" s="156"/>
      <c r="I381" s="156"/>
      <c r="J381" s="157"/>
    </row>
    <row r="382" spans="1:10" ht="12.75" customHeight="1">
      <c r="A382" s="158"/>
      <c r="B382" s="156"/>
      <c r="C382" s="156"/>
      <c r="D382" s="156"/>
      <c r="E382" s="156"/>
      <c r="F382" s="156"/>
      <c r="G382" s="156"/>
      <c r="H382" s="156"/>
      <c r="I382" s="156"/>
      <c r="J382" s="157"/>
    </row>
    <row r="383" spans="1:10" ht="12.75" customHeight="1">
      <c r="A383" s="158"/>
      <c r="B383" s="156"/>
      <c r="C383" s="156"/>
      <c r="D383" s="156"/>
      <c r="E383" s="156"/>
      <c r="F383" s="156"/>
      <c r="G383" s="156"/>
      <c r="H383" s="156"/>
      <c r="I383" s="156"/>
      <c r="J383" s="157"/>
    </row>
    <row r="384" spans="1:10" ht="12.75" customHeight="1">
      <c r="A384" s="158"/>
      <c r="B384" s="156"/>
      <c r="C384" s="156"/>
      <c r="D384" s="156"/>
      <c r="E384" s="156"/>
      <c r="F384" s="156"/>
      <c r="G384" s="156"/>
      <c r="H384" s="156"/>
      <c r="I384" s="156"/>
      <c r="J384" s="157"/>
    </row>
    <row r="385" spans="1:10" ht="12.75" customHeight="1">
      <c r="A385" s="158"/>
      <c r="B385" s="156"/>
      <c r="C385" s="156"/>
      <c r="D385" s="156"/>
      <c r="E385" s="156"/>
      <c r="F385" s="156"/>
      <c r="G385" s="156"/>
      <c r="H385" s="156"/>
      <c r="I385" s="156"/>
      <c r="J385" s="157"/>
    </row>
    <row r="386" spans="1:10" ht="12.75" customHeight="1">
      <c r="A386" s="158"/>
      <c r="B386" s="156"/>
      <c r="C386" s="156"/>
      <c r="D386" s="156"/>
      <c r="E386" s="156"/>
      <c r="F386" s="156"/>
      <c r="G386" s="156"/>
      <c r="H386" s="156"/>
      <c r="I386" s="156"/>
      <c r="J386" s="157"/>
    </row>
    <row r="387" spans="1:10" ht="12.75" customHeight="1">
      <c r="A387" s="158"/>
      <c r="B387" s="156"/>
      <c r="C387" s="156"/>
      <c r="D387" s="156"/>
      <c r="E387" s="156"/>
      <c r="F387" s="156"/>
      <c r="G387" s="156"/>
      <c r="H387" s="156"/>
      <c r="I387" s="156"/>
      <c r="J387" s="157"/>
    </row>
    <row r="388" spans="1:10" ht="12.75" customHeight="1">
      <c r="A388" s="158"/>
      <c r="B388" s="156"/>
      <c r="C388" s="156"/>
      <c r="D388" s="156"/>
      <c r="E388" s="156"/>
      <c r="F388" s="156"/>
      <c r="G388" s="156"/>
      <c r="H388" s="156"/>
      <c r="I388" s="156"/>
      <c r="J388" s="157"/>
    </row>
    <row r="389" spans="1:10" ht="12.75" customHeight="1">
      <c r="A389" s="158"/>
      <c r="B389" s="156"/>
      <c r="C389" s="156"/>
      <c r="D389" s="156"/>
      <c r="E389" s="156"/>
      <c r="F389" s="156"/>
      <c r="G389" s="156"/>
      <c r="H389" s="156"/>
      <c r="I389" s="156"/>
      <c r="J389" s="157"/>
    </row>
    <row r="390" spans="1:10" ht="12.75" customHeight="1">
      <c r="A390" s="158"/>
      <c r="B390" s="156"/>
      <c r="C390" s="156"/>
      <c r="D390" s="156"/>
      <c r="E390" s="156"/>
      <c r="F390" s="156"/>
      <c r="G390" s="156"/>
      <c r="H390" s="156"/>
      <c r="I390" s="156"/>
      <c r="J390" s="157"/>
    </row>
    <row r="391" spans="1:10" ht="12.75" customHeight="1">
      <c r="A391" s="158"/>
      <c r="B391" s="156"/>
      <c r="C391" s="156"/>
      <c r="D391" s="156"/>
      <c r="E391" s="156"/>
      <c r="F391" s="156"/>
      <c r="G391" s="156"/>
      <c r="H391" s="156"/>
      <c r="I391" s="156"/>
      <c r="J391" s="157"/>
    </row>
    <row r="392" spans="1:10" ht="12.75" customHeight="1">
      <c r="A392" s="158"/>
      <c r="B392" s="156"/>
      <c r="C392" s="156"/>
      <c r="D392" s="156"/>
      <c r="E392" s="156"/>
      <c r="F392" s="156"/>
      <c r="G392" s="156"/>
      <c r="H392" s="156"/>
      <c r="I392" s="156"/>
      <c r="J392" s="157"/>
    </row>
    <row r="393" spans="1:10" ht="12.75" customHeight="1">
      <c r="A393" s="158"/>
      <c r="B393" s="156"/>
      <c r="C393" s="156"/>
      <c r="D393" s="156"/>
      <c r="E393" s="156"/>
      <c r="F393" s="156"/>
      <c r="G393" s="156"/>
      <c r="H393" s="156"/>
      <c r="I393" s="156"/>
      <c r="J393" s="157"/>
    </row>
    <row r="394" spans="1:10" ht="12.75" customHeight="1">
      <c r="A394" s="158"/>
      <c r="B394" s="156"/>
      <c r="C394" s="156"/>
      <c r="D394" s="156"/>
      <c r="E394" s="156"/>
      <c r="F394" s="156"/>
      <c r="G394" s="156"/>
      <c r="H394" s="156"/>
      <c r="I394" s="156"/>
      <c r="J394" s="157"/>
    </row>
    <row r="395" spans="1:10" ht="12.75" customHeight="1">
      <c r="A395" s="158"/>
      <c r="B395" s="156"/>
      <c r="C395" s="156"/>
      <c r="D395" s="156"/>
      <c r="E395" s="156"/>
      <c r="F395" s="156"/>
      <c r="G395" s="156"/>
      <c r="H395" s="156"/>
      <c r="I395" s="156"/>
      <c r="J395" s="157"/>
    </row>
    <row r="396" spans="1:10" ht="12.75" customHeight="1">
      <c r="A396" s="158"/>
      <c r="B396" s="156"/>
      <c r="C396" s="156"/>
      <c r="D396" s="156"/>
      <c r="E396" s="156"/>
      <c r="F396" s="156"/>
      <c r="G396" s="156"/>
      <c r="H396" s="156"/>
      <c r="I396" s="156"/>
      <c r="J396" s="157"/>
    </row>
    <row r="397" spans="1:10" ht="12.75" customHeight="1">
      <c r="A397" s="158"/>
      <c r="B397" s="156"/>
      <c r="C397" s="156"/>
      <c r="D397" s="156"/>
      <c r="E397" s="156"/>
      <c r="F397" s="156"/>
      <c r="G397" s="156"/>
      <c r="H397" s="156"/>
      <c r="I397" s="156"/>
      <c r="J397" s="157"/>
    </row>
    <row r="398" spans="1:10" ht="12.75" customHeight="1">
      <c r="A398" s="158"/>
      <c r="B398" s="156"/>
      <c r="C398" s="156"/>
      <c r="D398" s="156"/>
      <c r="E398" s="156"/>
      <c r="F398" s="156"/>
      <c r="G398" s="156"/>
      <c r="H398" s="156"/>
      <c r="I398" s="156"/>
      <c r="J398" s="157"/>
    </row>
    <row r="399" spans="1:10" ht="12.75" customHeight="1">
      <c r="A399" s="158"/>
      <c r="B399" s="156"/>
      <c r="C399" s="156"/>
      <c r="D399" s="156"/>
      <c r="E399" s="156"/>
      <c r="F399" s="156"/>
      <c r="G399" s="156"/>
      <c r="H399" s="156"/>
      <c r="I399" s="156"/>
      <c r="J399" s="157"/>
    </row>
    <row r="400" spans="1:10" ht="12.75" customHeight="1">
      <c r="A400" s="158"/>
      <c r="B400" s="156"/>
      <c r="C400" s="156"/>
      <c r="D400" s="156"/>
      <c r="E400" s="156"/>
      <c r="F400" s="156"/>
      <c r="G400" s="156"/>
      <c r="H400" s="156"/>
      <c r="I400" s="156"/>
      <c r="J400" s="157"/>
    </row>
    <row r="401" spans="1:10" ht="12.75" customHeight="1">
      <c r="A401" s="199"/>
      <c r="B401" s="167"/>
      <c r="C401" s="167"/>
      <c r="D401" s="167"/>
      <c r="E401" s="167"/>
      <c r="F401" s="167"/>
      <c r="G401" s="167"/>
      <c r="H401" s="167"/>
      <c r="I401" s="167"/>
      <c r="J401" s="168"/>
    </row>
    <row r="402" spans="1:10" ht="12.75" customHeight="1"/>
    <row r="403" spans="1:10" ht="12.75" customHeight="1">
      <c r="A403" s="207" t="s">
        <v>65</v>
      </c>
      <c r="B403" s="152"/>
      <c r="C403" s="152"/>
      <c r="D403" s="152"/>
      <c r="E403" s="152"/>
      <c r="F403" s="152"/>
      <c r="G403" s="181"/>
      <c r="H403" s="208" t="str">
        <f>'CONTACT INFORMATION'!$A$24</f>
        <v>Humboldt</v>
      </c>
      <c r="I403" s="152"/>
      <c r="J403" s="153"/>
    </row>
    <row r="404" spans="1:10" ht="7.5" customHeight="1">
      <c r="A404" s="107"/>
      <c r="B404" s="107"/>
      <c r="C404" s="107"/>
      <c r="D404" s="107"/>
      <c r="E404" s="107"/>
      <c r="F404" s="107"/>
      <c r="G404" s="107"/>
      <c r="H404" s="107"/>
      <c r="I404" s="107"/>
      <c r="J404" s="107"/>
    </row>
    <row r="405" spans="1:10" ht="12.75" customHeight="1">
      <c r="A405" s="251" t="s">
        <v>167</v>
      </c>
      <c r="B405" s="152"/>
      <c r="C405" s="152"/>
      <c r="D405" s="152"/>
      <c r="E405" s="152"/>
      <c r="F405" s="152"/>
      <c r="G405" s="152"/>
      <c r="H405" s="152"/>
      <c r="I405" s="152"/>
      <c r="J405" s="153"/>
    </row>
    <row r="406" spans="1:10" ht="12.75" customHeight="1">
      <c r="A406" s="252" t="s">
        <v>140</v>
      </c>
      <c r="B406" s="163"/>
      <c r="C406" s="163"/>
      <c r="D406" s="164"/>
      <c r="E406" s="253"/>
      <c r="F406" s="197"/>
      <c r="G406" s="197"/>
      <c r="H406" s="197"/>
      <c r="I406" s="197"/>
      <c r="J406" s="198"/>
    </row>
    <row r="407" spans="1:10" ht="12.75" customHeight="1">
      <c r="A407" s="254" t="s">
        <v>161</v>
      </c>
      <c r="B407" s="149"/>
      <c r="C407" s="149"/>
      <c r="D407" s="150"/>
      <c r="E407" s="199"/>
      <c r="F407" s="167"/>
      <c r="G407" s="167"/>
      <c r="H407" s="167"/>
      <c r="I407" s="167"/>
      <c r="J407" s="168"/>
    </row>
    <row r="408" spans="1:10" ht="12.75" customHeight="1">
      <c r="A408" s="259" t="s">
        <v>168</v>
      </c>
      <c r="B408" s="152"/>
      <c r="C408" s="152"/>
      <c r="D408" s="153"/>
      <c r="E408" s="221"/>
      <c r="F408" s="152"/>
      <c r="G408" s="152"/>
      <c r="H408" s="152"/>
      <c r="I408" s="152"/>
      <c r="J408" s="153"/>
    </row>
    <row r="409" spans="1:10" ht="27" customHeight="1">
      <c r="A409" s="108"/>
      <c r="B409" s="104"/>
      <c r="C409" s="104"/>
      <c r="D409" s="104"/>
      <c r="E409" s="255" t="s">
        <v>143</v>
      </c>
      <c r="F409" s="167"/>
      <c r="G409" s="255" t="s">
        <v>144</v>
      </c>
      <c r="H409" s="167"/>
      <c r="I409" s="256" t="s">
        <v>145</v>
      </c>
      <c r="J409" s="168"/>
    </row>
    <row r="410" spans="1:10" ht="12.75" customHeight="1">
      <c r="A410" s="220" t="s">
        <v>146</v>
      </c>
      <c r="B410" s="152"/>
      <c r="C410" s="152"/>
      <c r="D410" s="153"/>
      <c r="E410" s="239"/>
      <c r="F410" s="153"/>
      <c r="G410" s="239">
        <v>0</v>
      </c>
      <c r="H410" s="153"/>
      <c r="I410" s="240">
        <v>0</v>
      </c>
      <c r="J410" s="153"/>
    </row>
    <row r="411" spans="1:10" ht="12.75" customHeight="1">
      <c r="A411" s="241" t="s">
        <v>147</v>
      </c>
      <c r="B411" s="152"/>
      <c r="C411" s="152"/>
      <c r="D411" s="153"/>
      <c r="E411" s="264"/>
      <c r="F411" s="153"/>
      <c r="G411" s="257">
        <v>0</v>
      </c>
      <c r="H411" s="153"/>
      <c r="I411" s="258">
        <v>0</v>
      </c>
      <c r="J411" s="153"/>
    </row>
    <row r="412" spans="1:10" ht="12.75" customHeight="1">
      <c r="A412" s="220" t="s">
        <v>148</v>
      </c>
      <c r="B412" s="152"/>
      <c r="C412" s="152"/>
      <c r="D412" s="153"/>
      <c r="E412" s="239"/>
      <c r="F412" s="153"/>
      <c r="G412" s="239">
        <v>0</v>
      </c>
      <c r="H412" s="153"/>
      <c r="I412" s="240">
        <v>0</v>
      </c>
      <c r="J412" s="153"/>
    </row>
    <row r="413" spans="1:10" ht="12.75" customHeight="1">
      <c r="A413" s="241" t="s">
        <v>149</v>
      </c>
      <c r="B413" s="152"/>
      <c r="C413" s="152"/>
      <c r="D413" s="153"/>
      <c r="E413" s="264"/>
      <c r="F413" s="153"/>
      <c r="G413" s="257">
        <v>0</v>
      </c>
      <c r="H413" s="153"/>
      <c r="I413" s="258">
        <v>0</v>
      </c>
      <c r="J413" s="153"/>
    </row>
    <row r="414" spans="1:10" ht="12.75" customHeight="1">
      <c r="A414" s="220" t="s">
        <v>150</v>
      </c>
      <c r="B414" s="152"/>
      <c r="C414" s="152"/>
      <c r="D414" s="153"/>
      <c r="E414" s="239"/>
      <c r="F414" s="153"/>
      <c r="G414" s="239">
        <v>0</v>
      </c>
      <c r="H414" s="153"/>
      <c r="I414" s="240">
        <v>0</v>
      </c>
      <c r="J414" s="153"/>
    </row>
    <row r="415" spans="1:10" ht="12.75" customHeight="1">
      <c r="A415" s="241" t="s">
        <v>151</v>
      </c>
      <c r="B415" s="152"/>
      <c r="C415" s="152"/>
      <c r="D415" s="153"/>
      <c r="E415" s="264"/>
      <c r="F415" s="153"/>
      <c r="G415" s="257">
        <v>0</v>
      </c>
      <c r="H415" s="153"/>
      <c r="I415" s="258">
        <v>0</v>
      </c>
      <c r="J415" s="153"/>
    </row>
    <row r="416" spans="1:10" ht="12.75" customHeight="1">
      <c r="A416" s="220" t="s">
        <v>152</v>
      </c>
      <c r="B416" s="152"/>
      <c r="C416" s="152"/>
      <c r="D416" s="153"/>
      <c r="E416" s="262"/>
      <c r="F416" s="153"/>
      <c r="G416" s="262"/>
      <c r="H416" s="153"/>
      <c r="I416" s="263"/>
      <c r="J416" s="153"/>
    </row>
    <row r="417" spans="1:10" ht="12.75" customHeight="1">
      <c r="A417" s="265"/>
      <c r="B417" s="152"/>
      <c r="C417" s="152"/>
      <c r="D417" s="153"/>
      <c r="E417" s="264"/>
      <c r="F417" s="153"/>
      <c r="G417" s="257"/>
      <c r="H417" s="153"/>
      <c r="I417" s="257"/>
      <c r="J417" s="153"/>
    </row>
    <row r="418" spans="1:10" ht="12.75" customHeight="1">
      <c r="A418" s="265"/>
      <c r="B418" s="152"/>
      <c r="C418" s="152"/>
      <c r="D418" s="153"/>
      <c r="E418" s="264"/>
      <c r="F418" s="153"/>
      <c r="G418" s="257"/>
      <c r="H418" s="153"/>
      <c r="I418" s="257"/>
      <c r="J418" s="153"/>
    </row>
    <row r="419" spans="1:10" ht="12.75" customHeight="1">
      <c r="A419" s="265"/>
      <c r="B419" s="152"/>
      <c r="C419" s="152"/>
      <c r="D419" s="153"/>
      <c r="E419" s="264"/>
      <c r="F419" s="153"/>
      <c r="G419" s="257"/>
      <c r="H419" s="153"/>
      <c r="I419" s="257"/>
      <c r="J419" s="153"/>
    </row>
    <row r="420" spans="1:10" ht="12.75" customHeight="1">
      <c r="A420" s="222" t="s">
        <v>153</v>
      </c>
      <c r="B420" s="152"/>
      <c r="C420" s="152"/>
      <c r="D420" s="153"/>
      <c r="E420" s="266">
        <f>SUM(E410:E419)</f>
        <v>0</v>
      </c>
      <c r="F420" s="153"/>
      <c r="G420" s="266">
        <f>SUM(G410:G419)</f>
        <v>0</v>
      </c>
      <c r="H420" s="153"/>
      <c r="I420" s="266">
        <f>SUM(I410:I419)</f>
        <v>0</v>
      </c>
      <c r="J420" s="153"/>
    </row>
    <row r="421" spans="1:10" ht="12.75" customHeight="1">
      <c r="A421" s="267" t="s">
        <v>154</v>
      </c>
      <c r="B421" s="163"/>
      <c r="C421" s="163"/>
      <c r="D421" s="163"/>
      <c r="E421" s="163"/>
      <c r="F421" s="163"/>
      <c r="G421" s="163"/>
      <c r="H421" s="163"/>
      <c r="I421" s="163"/>
      <c r="J421" s="164"/>
    </row>
    <row r="422" spans="1:10" ht="12.75" customHeight="1">
      <c r="A422" s="268" t="s">
        <v>155</v>
      </c>
      <c r="B422" s="171"/>
      <c r="C422" s="171"/>
      <c r="D422" s="171"/>
      <c r="E422" s="171"/>
      <c r="F422" s="171"/>
      <c r="G422" s="171"/>
      <c r="H422" s="171"/>
      <c r="I422" s="171"/>
      <c r="J422" s="172"/>
    </row>
    <row r="423" spans="1:10" ht="12.75" customHeight="1">
      <c r="A423" s="268" t="s">
        <v>156</v>
      </c>
      <c r="B423" s="171"/>
      <c r="C423" s="171"/>
      <c r="D423" s="171"/>
      <c r="E423" s="171"/>
      <c r="F423" s="171"/>
      <c r="G423" s="171"/>
      <c r="H423" s="171"/>
      <c r="I423" s="171"/>
      <c r="J423" s="172"/>
    </row>
    <row r="424" spans="1:10" ht="12.75" customHeight="1">
      <c r="A424" s="260" t="s">
        <v>157</v>
      </c>
      <c r="B424" s="149"/>
      <c r="C424" s="149"/>
      <c r="D424" s="149"/>
      <c r="E424" s="149"/>
      <c r="F424" s="149"/>
      <c r="G424" s="149"/>
      <c r="H424" s="149"/>
      <c r="I424" s="149"/>
      <c r="J424" s="150"/>
    </row>
    <row r="425" spans="1:10" ht="12.75" customHeight="1">
      <c r="A425" s="196" t="s">
        <v>969</v>
      </c>
      <c r="B425" s="197"/>
      <c r="C425" s="197"/>
      <c r="D425" s="197"/>
      <c r="E425" s="197"/>
      <c r="F425" s="197"/>
      <c r="G425" s="197"/>
      <c r="H425" s="197"/>
      <c r="I425" s="197"/>
      <c r="J425" s="198"/>
    </row>
    <row r="426" spans="1:10" ht="12.75" customHeight="1">
      <c r="A426" s="158"/>
      <c r="B426" s="156"/>
      <c r="C426" s="156"/>
      <c r="D426" s="156"/>
      <c r="E426" s="156"/>
      <c r="F426" s="156"/>
      <c r="G426" s="156"/>
      <c r="H426" s="156"/>
      <c r="I426" s="156"/>
      <c r="J426" s="157"/>
    </row>
    <row r="427" spans="1:10" ht="12.75" customHeight="1">
      <c r="A427" s="158"/>
      <c r="B427" s="156"/>
      <c r="C427" s="156"/>
      <c r="D427" s="156"/>
      <c r="E427" s="156"/>
      <c r="F427" s="156"/>
      <c r="G427" s="156"/>
      <c r="H427" s="156"/>
      <c r="I427" s="156"/>
      <c r="J427" s="157"/>
    </row>
    <row r="428" spans="1:10" ht="12.75" customHeight="1">
      <c r="A428" s="158"/>
      <c r="B428" s="156"/>
      <c r="C428" s="156"/>
      <c r="D428" s="156"/>
      <c r="E428" s="156"/>
      <c r="F428" s="156"/>
      <c r="G428" s="156"/>
      <c r="H428" s="156"/>
      <c r="I428" s="156"/>
      <c r="J428" s="157"/>
    </row>
    <row r="429" spans="1:10" ht="12.75" customHeight="1">
      <c r="A429" s="158"/>
      <c r="B429" s="156"/>
      <c r="C429" s="156"/>
      <c r="D429" s="156"/>
      <c r="E429" s="156"/>
      <c r="F429" s="156"/>
      <c r="G429" s="156"/>
      <c r="H429" s="156"/>
      <c r="I429" s="156"/>
      <c r="J429" s="157"/>
    </row>
    <row r="430" spans="1:10" ht="12.75" customHeight="1">
      <c r="A430" s="158"/>
      <c r="B430" s="156"/>
      <c r="C430" s="156"/>
      <c r="D430" s="156"/>
      <c r="E430" s="156"/>
      <c r="F430" s="156"/>
      <c r="G430" s="156"/>
      <c r="H430" s="156"/>
      <c r="I430" s="156"/>
      <c r="J430" s="157"/>
    </row>
    <row r="431" spans="1:10" ht="12.75" customHeight="1">
      <c r="A431" s="158"/>
      <c r="B431" s="156"/>
      <c r="C431" s="156"/>
      <c r="D431" s="156"/>
      <c r="E431" s="156"/>
      <c r="F431" s="156"/>
      <c r="G431" s="156"/>
      <c r="H431" s="156"/>
      <c r="I431" s="156"/>
      <c r="J431" s="157"/>
    </row>
    <row r="432" spans="1:10" ht="12.75" customHeight="1">
      <c r="A432" s="158"/>
      <c r="B432" s="156"/>
      <c r="C432" s="156"/>
      <c r="D432" s="156"/>
      <c r="E432" s="156"/>
      <c r="F432" s="156"/>
      <c r="G432" s="156"/>
      <c r="H432" s="156"/>
      <c r="I432" s="156"/>
      <c r="J432" s="157"/>
    </row>
    <row r="433" spans="1:10" ht="12.75" customHeight="1">
      <c r="A433" s="158"/>
      <c r="B433" s="156"/>
      <c r="C433" s="156"/>
      <c r="D433" s="156"/>
      <c r="E433" s="156"/>
      <c r="F433" s="156"/>
      <c r="G433" s="156"/>
      <c r="H433" s="156"/>
      <c r="I433" s="156"/>
      <c r="J433" s="157"/>
    </row>
    <row r="434" spans="1:10" ht="12.75" customHeight="1">
      <c r="A434" s="158"/>
      <c r="B434" s="156"/>
      <c r="C434" s="156"/>
      <c r="D434" s="156"/>
      <c r="E434" s="156"/>
      <c r="F434" s="156"/>
      <c r="G434" s="156"/>
      <c r="H434" s="156"/>
      <c r="I434" s="156"/>
      <c r="J434" s="157"/>
    </row>
    <row r="435" spans="1:10" ht="12.75" customHeight="1">
      <c r="A435" s="158"/>
      <c r="B435" s="156"/>
      <c r="C435" s="156"/>
      <c r="D435" s="156"/>
      <c r="E435" s="156"/>
      <c r="F435" s="156"/>
      <c r="G435" s="156"/>
      <c r="H435" s="156"/>
      <c r="I435" s="156"/>
      <c r="J435" s="157"/>
    </row>
    <row r="436" spans="1:10" ht="12.75" customHeight="1">
      <c r="A436" s="158"/>
      <c r="B436" s="156"/>
      <c r="C436" s="156"/>
      <c r="D436" s="156"/>
      <c r="E436" s="156"/>
      <c r="F436" s="156"/>
      <c r="G436" s="156"/>
      <c r="H436" s="156"/>
      <c r="I436" s="156"/>
      <c r="J436" s="157"/>
    </row>
    <row r="437" spans="1:10" ht="12.75" customHeight="1">
      <c r="A437" s="158"/>
      <c r="B437" s="156"/>
      <c r="C437" s="156"/>
      <c r="D437" s="156"/>
      <c r="E437" s="156"/>
      <c r="F437" s="156"/>
      <c r="G437" s="156"/>
      <c r="H437" s="156"/>
      <c r="I437" s="156"/>
      <c r="J437" s="157"/>
    </row>
    <row r="438" spans="1:10" ht="12.75" customHeight="1">
      <c r="A438" s="158"/>
      <c r="B438" s="156"/>
      <c r="C438" s="156"/>
      <c r="D438" s="156"/>
      <c r="E438" s="156"/>
      <c r="F438" s="156"/>
      <c r="G438" s="156"/>
      <c r="H438" s="156"/>
      <c r="I438" s="156"/>
      <c r="J438" s="157"/>
    </row>
    <row r="439" spans="1:10" ht="12.75" customHeight="1">
      <c r="A439" s="158"/>
      <c r="B439" s="156"/>
      <c r="C439" s="156"/>
      <c r="D439" s="156"/>
      <c r="E439" s="156"/>
      <c r="F439" s="156"/>
      <c r="G439" s="156"/>
      <c r="H439" s="156"/>
      <c r="I439" s="156"/>
      <c r="J439" s="157"/>
    </row>
    <row r="440" spans="1:10" ht="12.75" customHeight="1">
      <c r="A440" s="158"/>
      <c r="B440" s="156"/>
      <c r="C440" s="156"/>
      <c r="D440" s="156"/>
      <c r="E440" s="156"/>
      <c r="F440" s="156"/>
      <c r="G440" s="156"/>
      <c r="H440" s="156"/>
      <c r="I440" s="156"/>
      <c r="J440" s="157"/>
    </row>
    <row r="441" spans="1:10" ht="12.75" customHeight="1">
      <c r="A441" s="158"/>
      <c r="B441" s="156"/>
      <c r="C441" s="156"/>
      <c r="D441" s="156"/>
      <c r="E441" s="156"/>
      <c r="F441" s="156"/>
      <c r="G441" s="156"/>
      <c r="H441" s="156"/>
      <c r="I441" s="156"/>
      <c r="J441" s="157"/>
    </row>
    <row r="442" spans="1:10" ht="12.75" customHeight="1">
      <c r="A442" s="158"/>
      <c r="B442" s="156"/>
      <c r="C442" s="156"/>
      <c r="D442" s="156"/>
      <c r="E442" s="156"/>
      <c r="F442" s="156"/>
      <c r="G442" s="156"/>
      <c r="H442" s="156"/>
      <c r="I442" s="156"/>
      <c r="J442" s="157"/>
    </row>
    <row r="443" spans="1:10" ht="12.75" customHeight="1">
      <c r="A443" s="158"/>
      <c r="B443" s="156"/>
      <c r="C443" s="156"/>
      <c r="D443" s="156"/>
      <c r="E443" s="156"/>
      <c r="F443" s="156"/>
      <c r="G443" s="156"/>
      <c r="H443" s="156"/>
      <c r="I443" s="156"/>
      <c r="J443" s="157"/>
    </row>
    <row r="444" spans="1:10" ht="12.75" customHeight="1">
      <c r="A444" s="158"/>
      <c r="B444" s="156"/>
      <c r="C444" s="156"/>
      <c r="D444" s="156"/>
      <c r="E444" s="156"/>
      <c r="F444" s="156"/>
      <c r="G444" s="156"/>
      <c r="H444" s="156"/>
      <c r="I444" s="156"/>
      <c r="J444" s="157"/>
    </row>
    <row r="445" spans="1:10" ht="12.75" customHeight="1">
      <c r="A445" s="158"/>
      <c r="B445" s="156"/>
      <c r="C445" s="156"/>
      <c r="D445" s="156"/>
      <c r="E445" s="156"/>
      <c r="F445" s="156"/>
      <c r="G445" s="156"/>
      <c r="H445" s="156"/>
      <c r="I445" s="156"/>
      <c r="J445" s="157"/>
    </row>
    <row r="446" spans="1:10" ht="12.75" customHeight="1">
      <c r="A446" s="158"/>
      <c r="B446" s="156"/>
      <c r="C446" s="156"/>
      <c r="D446" s="156"/>
      <c r="E446" s="156"/>
      <c r="F446" s="156"/>
      <c r="G446" s="156"/>
      <c r="H446" s="156"/>
      <c r="I446" s="156"/>
      <c r="J446" s="157"/>
    </row>
    <row r="447" spans="1:10" ht="12.75" customHeight="1">
      <c r="A447" s="158"/>
      <c r="B447" s="156"/>
      <c r="C447" s="156"/>
      <c r="D447" s="156"/>
      <c r="E447" s="156"/>
      <c r="F447" s="156"/>
      <c r="G447" s="156"/>
      <c r="H447" s="156"/>
      <c r="I447" s="156"/>
      <c r="J447" s="157"/>
    </row>
    <row r="448" spans="1:10" ht="12.75" customHeight="1">
      <c r="A448" s="158"/>
      <c r="B448" s="156"/>
      <c r="C448" s="156"/>
      <c r="D448" s="156"/>
      <c r="E448" s="156"/>
      <c r="F448" s="156"/>
      <c r="G448" s="156"/>
      <c r="H448" s="156"/>
      <c r="I448" s="156"/>
      <c r="J448" s="157"/>
    </row>
    <row r="449" spans="1:10" ht="12.75" customHeight="1">
      <c r="A449" s="158"/>
      <c r="B449" s="156"/>
      <c r="C449" s="156"/>
      <c r="D449" s="156"/>
      <c r="E449" s="156"/>
      <c r="F449" s="156"/>
      <c r="G449" s="156"/>
      <c r="H449" s="156"/>
      <c r="I449" s="156"/>
      <c r="J449" s="157"/>
    </row>
    <row r="450" spans="1:10" ht="12.75" customHeight="1">
      <c r="A450" s="158"/>
      <c r="B450" s="156"/>
      <c r="C450" s="156"/>
      <c r="D450" s="156"/>
      <c r="E450" s="156"/>
      <c r="F450" s="156"/>
      <c r="G450" s="156"/>
      <c r="H450" s="156"/>
      <c r="I450" s="156"/>
      <c r="J450" s="157"/>
    </row>
    <row r="451" spans="1:10" ht="12.75" customHeight="1">
      <c r="A451" s="158"/>
      <c r="B451" s="156"/>
      <c r="C451" s="156"/>
      <c r="D451" s="156"/>
      <c r="E451" s="156"/>
      <c r="F451" s="156"/>
      <c r="G451" s="156"/>
      <c r="H451" s="156"/>
      <c r="I451" s="156"/>
      <c r="J451" s="157"/>
    </row>
    <row r="452" spans="1:10" ht="12.75" customHeight="1">
      <c r="A452" s="158"/>
      <c r="B452" s="156"/>
      <c r="C452" s="156"/>
      <c r="D452" s="156"/>
      <c r="E452" s="156"/>
      <c r="F452" s="156"/>
      <c r="G452" s="156"/>
      <c r="H452" s="156"/>
      <c r="I452" s="156"/>
      <c r="J452" s="157"/>
    </row>
    <row r="453" spans="1:10" ht="12.75" customHeight="1">
      <c r="A453" s="158"/>
      <c r="B453" s="156"/>
      <c r="C453" s="156"/>
      <c r="D453" s="156"/>
      <c r="E453" s="156"/>
      <c r="F453" s="156"/>
      <c r="G453" s="156"/>
      <c r="H453" s="156"/>
      <c r="I453" s="156"/>
      <c r="J453" s="157"/>
    </row>
    <row r="454" spans="1:10" ht="12.75" customHeight="1">
      <c r="A454" s="158"/>
      <c r="B454" s="156"/>
      <c r="C454" s="156"/>
      <c r="D454" s="156"/>
      <c r="E454" s="156"/>
      <c r="F454" s="156"/>
      <c r="G454" s="156"/>
      <c r="H454" s="156"/>
      <c r="I454" s="156"/>
      <c r="J454" s="157"/>
    </row>
    <row r="455" spans="1:10" ht="12.75" customHeight="1">
      <c r="A455" s="158"/>
      <c r="B455" s="156"/>
      <c r="C455" s="156"/>
      <c r="D455" s="156"/>
      <c r="E455" s="156"/>
      <c r="F455" s="156"/>
      <c r="G455" s="156"/>
      <c r="H455" s="156"/>
      <c r="I455" s="156"/>
      <c r="J455" s="157"/>
    </row>
    <row r="456" spans="1:10" ht="12.75" customHeight="1">
      <c r="A456" s="158"/>
      <c r="B456" s="156"/>
      <c r="C456" s="156"/>
      <c r="D456" s="156"/>
      <c r="E456" s="156"/>
      <c r="F456" s="156"/>
      <c r="G456" s="156"/>
      <c r="H456" s="156"/>
      <c r="I456" s="156"/>
      <c r="J456" s="157"/>
    </row>
    <row r="457" spans="1:10" ht="12.75" customHeight="1">
      <c r="A457" s="158"/>
      <c r="B457" s="156"/>
      <c r="C457" s="156"/>
      <c r="D457" s="156"/>
      <c r="E457" s="156"/>
      <c r="F457" s="156"/>
      <c r="G457" s="156"/>
      <c r="H457" s="156"/>
      <c r="I457" s="156"/>
      <c r="J457" s="157"/>
    </row>
    <row r="458" spans="1:10" ht="12.75" customHeight="1">
      <c r="A458" s="158"/>
      <c r="B458" s="156"/>
      <c r="C458" s="156"/>
      <c r="D458" s="156"/>
      <c r="E458" s="156"/>
      <c r="F458" s="156"/>
      <c r="G458" s="156"/>
      <c r="H458" s="156"/>
      <c r="I458" s="156"/>
      <c r="J458" s="157"/>
    </row>
    <row r="459" spans="1:10" ht="12.75" customHeight="1">
      <c r="A459" s="199"/>
      <c r="B459" s="167"/>
      <c r="C459" s="167"/>
      <c r="D459" s="167"/>
      <c r="E459" s="167"/>
      <c r="F459" s="167"/>
      <c r="G459" s="167"/>
      <c r="H459" s="167"/>
      <c r="I459" s="167"/>
      <c r="J459" s="168"/>
    </row>
    <row r="460" spans="1:10" ht="12.75" customHeight="1"/>
    <row r="461" spans="1:10" ht="12.75" customHeight="1">
      <c r="A461" s="207" t="s">
        <v>65</v>
      </c>
      <c r="B461" s="152"/>
      <c r="C461" s="152"/>
      <c r="D461" s="152"/>
      <c r="E461" s="152"/>
      <c r="F461" s="152"/>
      <c r="G461" s="181"/>
      <c r="H461" s="208" t="str">
        <f>'CONTACT INFORMATION'!$A$24</f>
        <v>Humboldt</v>
      </c>
      <c r="I461" s="152"/>
      <c r="J461" s="153"/>
    </row>
    <row r="462" spans="1:10" ht="7.5" customHeight="1">
      <c r="A462" s="107"/>
      <c r="B462" s="107"/>
      <c r="C462" s="107"/>
      <c r="D462" s="107"/>
      <c r="E462" s="107"/>
      <c r="F462" s="107"/>
      <c r="G462" s="107"/>
      <c r="H462" s="107"/>
      <c r="I462" s="107"/>
      <c r="J462" s="107"/>
    </row>
    <row r="463" spans="1:10" ht="12.75" customHeight="1">
      <c r="A463" s="251" t="s">
        <v>169</v>
      </c>
      <c r="B463" s="152"/>
      <c r="C463" s="152"/>
      <c r="D463" s="152"/>
      <c r="E463" s="152"/>
      <c r="F463" s="152"/>
      <c r="G463" s="152"/>
      <c r="H463" s="152"/>
      <c r="I463" s="152"/>
      <c r="J463" s="153"/>
    </row>
    <row r="464" spans="1:10" ht="12.75" customHeight="1">
      <c r="A464" s="252" t="s">
        <v>140</v>
      </c>
      <c r="B464" s="163"/>
      <c r="C464" s="163"/>
      <c r="D464" s="164"/>
      <c r="E464" s="269"/>
      <c r="F464" s="197"/>
      <c r="G464" s="197"/>
      <c r="H464" s="197"/>
      <c r="I464" s="197"/>
      <c r="J464" s="198"/>
    </row>
    <row r="465" spans="1:10" ht="12.75" customHeight="1">
      <c r="A465" s="254" t="s">
        <v>161</v>
      </c>
      <c r="B465" s="149"/>
      <c r="C465" s="149"/>
      <c r="D465" s="150"/>
      <c r="E465" s="199"/>
      <c r="F465" s="167"/>
      <c r="G465" s="167"/>
      <c r="H465" s="167"/>
      <c r="I465" s="167"/>
      <c r="J465" s="168"/>
    </row>
    <row r="466" spans="1:10" ht="12.75" customHeight="1">
      <c r="A466" s="259" t="s">
        <v>170</v>
      </c>
      <c r="B466" s="152"/>
      <c r="C466" s="152"/>
      <c r="D466" s="153"/>
      <c r="E466" s="221"/>
      <c r="F466" s="152"/>
      <c r="G466" s="152"/>
      <c r="H466" s="152"/>
      <c r="I466" s="152"/>
      <c r="J466" s="153"/>
    </row>
    <row r="467" spans="1:10" ht="27" customHeight="1">
      <c r="A467" s="108"/>
      <c r="B467" s="104"/>
      <c r="C467" s="104"/>
      <c r="D467" s="104"/>
      <c r="E467" s="255" t="s">
        <v>143</v>
      </c>
      <c r="F467" s="167"/>
      <c r="G467" s="255" t="s">
        <v>144</v>
      </c>
      <c r="H467" s="167"/>
      <c r="I467" s="256" t="s">
        <v>145</v>
      </c>
      <c r="J467" s="168"/>
    </row>
    <row r="468" spans="1:10" ht="12.75" customHeight="1">
      <c r="A468" s="220" t="s">
        <v>146</v>
      </c>
      <c r="B468" s="152"/>
      <c r="C468" s="152"/>
      <c r="D468" s="153"/>
      <c r="E468" s="239"/>
      <c r="F468" s="153"/>
      <c r="G468" s="239"/>
      <c r="H468" s="153"/>
      <c r="I468" s="240"/>
      <c r="J468" s="153"/>
    </row>
    <row r="469" spans="1:10" ht="12.75" customHeight="1">
      <c r="A469" s="241" t="s">
        <v>147</v>
      </c>
      <c r="B469" s="152"/>
      <c r="C469" s="152"/>
      <c r="D469" s="153"/>
      <c r="E469" s="264"/>
      <c r="F469" s="153"/>
      <c r="G469" s="257"/>
      <c r="H469" s="153"/>
      <c r="I469" s="258"/>
      <c r="J469" s="153"/>
    </row>
    <row r="470" spans="1:10" ht="12.75" customHeight="1">
      <c r="A470" s="220" t="s">
        <v>148</v>
      </c>
      <c r="B470" s="152"/>
      <c r="C470" s="152"/>
      <c r="D470" s="153"/>
      <c r="E470" s="239"/>
      <c r="F470" s="153"/>
      <c r="G470" s="239"/>
      <c r="H470" s="153"/>
      <c r="I470" s="240"/>
      <c r="J470" s="153"/>
    </row>
    <row r="471" spans="1:10" ht="12.75" customHeight="1">
      <c r="A471" s="241" t="s">
        <v>149</v>
      </c>
      <c r="B471" s="152"/>
      <c r="C471" s="152"/>
      <c r="D471" s="153"/>
      <c r="E471" s="264"/>
      <c r="F471" s="153"/>
      <c r="G471" s="257"/>
      <c r="H471" s="153"/>
      <c r="I471" s="258"/>
      <c r="J471" s="153"/>
    </row>
    <row r="472" spans="1:10" ht="12.75" customHeight="1">
      <c r="A472" s="220" t="s">
        <v>150</v>
      </c>
      <c r="B472" s="152"/>
      <c r="C472" s="152"/>
      <c r="D472" s="153"/>
      <c r="E472" s="239"/>
      <c r="F472" s="153"/>
      <c r="G472" s="239"/>
      <c r="H472" s="153"/>
      <c r="I472" s="240"/>
      <c r="J472" s="153"/>
    </row>
    <row r="473" spans="1:10" ht="12.75" customHeight="1">
      <c r="A473" s="241" t="s">
        <v>151</v>
      </c>
      <c r="B473" s="152"/>
      <c r="C473" s="152"/>
      <c r="D473" s="153"/>
      <c r="E473" s="264"/>
      <c r="F473" s="153"/>
      <c r="G473" s="257"/>
      <c r="H473" s="153"/>
      <c r="I473" s="258"/>
      <c r="J473" s="153"/>
    </row>
    <row r="474" spans="1:10" ht="12.75" customHeight="1">
      <c r="A474" s="220" t="s">
        <v>152</v>
      </c>
      <c r="B474" s="152"/>
      <c r="C474" s="152"/>
      <c r="D474" s="153"/>
      <c r="E474" s="262"/>
      <c r="F474" s="153"/>
      <c r="G474" s="262"/>
      <c r="H474" s="153"/>
      <c r="I474" s="263"/>
      <c r="J474" s="153"/>
    </row>
    <row r="475" spans="1:10" ht="12.75" customHeight="1">
      <c r="A475" s="265"/>
      <c r="B475" s="152"/>
      <c r="C475" s="152"/>
      <c r="D475" s="153"/>
      <c r="E475" s="264"/>
      <c r="F475" s="153"/>
      <c r="G475" s="257"/>
      <c r="H475" s="153"/>
      <c r="I475" s="257"/>
      <c r="J475" s="153"/>
    </row>
    <row r="476" spans="1:10" ht="12.75" customHeight="1">
      <c r="A476" s="265"/>
      <c r="B476" s="152"/>
      <c r="C476" s="152"/>
      <c r="D476" s="153"/>
      <c r="E476" s="264"/>
      <c r="F476" s="153"/>
      <c r="G476" s="257"/>
      <c r="H476" s="153"/>
      <c r="I476" s="257"/>
      <c r="J476" s="153"/>
    </row>
    <row r="477" spans="1:10" ht="12.75" customHeight="1">
      <c r="A477" s="265"/>
      <c r="B477" s="152"/>
      <c r="C477" s="152"/>
      <c r="D477" s="153"/>
      <c r="E477" s="264"/>
      <c r="F477" s="153"/>
      <c r="G477" s="257"/>
      <c r="H477" s="153"/>
      <c r="I477" s="257"/>
      <c r="J477" s="153"/>
    </row>
    <row r="478" spans="1:10" ht="12.75" customHeight="1">
      <c r="A478" s="222" t="s">
        <v>153</v>
      </c>
      <c r="B478" s="152"/>
      <c r="C478" s="152"/>
      <c r="D478" s="153"/>
      <c r="E478" s="266">
        <f>SUM(E468:E477)</f>
        <v>0</v>
      </c>
      <c r="F478" s="153"/>
      <c r="G478" s="266">
        <f>SUM(G468:G477)</f>
        <v>0</v>
      </c>
      <c r="H478" s="153"/>
      <c r="I478" s="266">
        <f>SUM(I468:I477)</f>
        <v>0</v>
      </c>
      <c r="J478" s="153"/>
    </row>
    <row r="479" spans="1:10" ht="12.75" customHeight="1">
      <c r="A479" s="267" t="s">
        <v>154</v>
      </c>
      <c r="B479" s="163"/>
      <c r="C479" s="163"/>
      <c r="D479" s="163"/>
      <c r="E479" s="163"/>
      <c r="F479" s="163"/>
      <c r="G479" s="163"/>
      <c r="H479" s="163"/>
      <c r="I479" s="163"/>
      <c r="J479" s="164"/>
    </row>
    <row r="480" spans="1:10" ht="12.75" customHeight="1">
      <c r="A480" s="268" t="s">
        <v>155</v>
      </c>
      <c r="B480" s="171"/>
      <c r="C480" s="171"/>
      <c r="D480" s="171"/>
      <c r="E480" s="171"/>
      <c r="F480" s="171"/>
      <c r="G480" s="171"/>
      <c r="H480" s="171"/>
      <c r="I480" s="171"/>
      <c r="J480" s="172"/>
    </row>
    <row r="481" spans="1:10" ht="12.75" customHeight="1">
      <c r="A481" s="268" t="s">
        <v>156</v>
      </c>
      <c r="B481" s="171"/>
      <c r="C481" s="171"/>
      <c r="D481" s="171"/>
      <c r="E481" s="171"/>
      <c r="F481" s="171"/>
      <c r="G481" s="171"/>
      <c r="H481" s="171"/>
      <c r="I481" s="171"/>
      <c r="J481" s="172"/>
    </row>
    <row r="482" spans="1:10" ht="12.75" customHeight="1">
      <c r="A482" s="260" t="s">
        <v>157</v>
      </c>
      <c r="B482" s="149"/>
      <c r="C482" s="149"/>
      <c r="D482" s="149"/>
      <c r="E482" s="149"/>
      <c r="F482" s="149"/>
      <c r="G482" s="149"/>
      <c r="H482" s="149"/>
      <c r="I482" s="149"/>
      <c r="J482" s="150"/>
    </row>
    <row r="483" spans="1:10" ht="12.75" customHeight="1">
      <c r="A483" s="196"/>
      <c r="B483" s="197"/>
      <c r="C483" s="197"/>
      <c r="D483" s="197"/>
      <c r="E483" s="197"/>
      <c r="F483" s="197"/>
      <c r="G483" s="197"/>
      <c r="H483" s="197"/>
      <c r="I483" s="197"/>
      <c r="J483" s="198"/>
    </row>
    <row r="484" spans="1:10" ht="12.75" customHeight="1">
      <c r="A484" s="158"/>
      <c r="B484" s="156"/>
      <c r="C484" s="156"/>
      <c r="D484" s="156"/>
      <c r="E484" s="156"/>
      <c r="F484" s="156"/>
      <c r="G484" s="156"/>
      <c r="H484" s="156"/>
      <c r="I484" s="156"/>
      <c r="J484" s="157"/>
    </row>
    <row r="485" spans="1:10" ht="12.75" customHeight="1">
      <c r="A485" s="158"/>
      <c r="B485" s="156"/>
      <c r="C485" s="156"/>
      <c r="D485" s="156"/>
      <c r="E485" s="156"/>
      <c r="F485" s="156"/>
      <c r="G485" s="156"/>
      <c r="H485" s="156"/>
      <c r="I485" s="156"/>
      <c r="J485" s="157"/>
    </row>
    <row r="486" spans="1:10" ht="12.75" customHeight="1">
      <c r="A486" s="158"/>
      <c r="B486" s="156"/>
      <c r="C486" s="156"/>
      <c r="D486" s="156"/>
      <c r="E486" s="156"/>
      <c r="F486" s="156"/>
      <c r="G486" s="156"/>
      <c r="H486" s="156"/>
      <c r="I486" s="156"/>
      <c r="J486" s="157"/>
    </row>
    <row r="487" spans="1:10" ht="12.75" customHeight="1">
      <c r="A487" s="158"/>
      <c r="B487" s="156"/>
      <c r="C487" s="156"/>
      <c r="D487" s="156"/>
      <c r="E487" s="156"/>
      <c r="F487" s="156"/>
      <c r="G487" s="156"/>
      <c r="H487" s="156"/>
      <c r="I487" s="156"/>
      <c r="J487" s="157"/>
    </row>
    <row r="488" spans="1:10" ht="12.75" customHeight="1">
      <c r="A488" s="158"/>
      <c r="B488" s="156"/>
      <c r="C488" s="156"/>
      <c r="D488" s="156"/>
      <c r="E488" s="156"/>
      <c r="F488" s="156"/>
      <c r="G488" s="156"/>
      <c r="H488" s="156"/>
      <c r="I488" s="156"/>
      <c r="J488" s="157"/>
    </row>
    <row r="489" spans="1:10" ht="12.75" customHeight="1">
      <c r="A489" s="158"/>
      <c r="B489" s="156"/>
      <c r="C489" s="156"/>
      <c r="D489" s="156"/>
      <c r="E489" s="156"/>
      <c r="F489" s="156"/>
      <c r="G489" s="156"/>
      <c r="H489" s="156"/>
      <c r="I489" s="156"/>
      <c r="J489" s="157"/>
    </row>
    <row r="490" spans="1:10" ht="12.75" customHeight="1">
      <c r="A490" s="158"/>
      <c r="B490" s="156"/>
      <c r="C490" s="156"/>
      <c r="D490" s="156"/>
      <c r="E490" s="156"/>
      <c r="F490" s="156"/>
      <c r="G490" s="156"/>
      <c r="H490" s="156"/>
      <c r="I490" s="156"/>
      <c r="J490" s="157"/>
    </row>
    <row r="491" spans="1:10" ht="12.75" customHeight="1">
      <c r="A491" s="158"/>
      <c r="B491" s="156"/>
      <c r="C491" s="156"/>
      <c r="D491" s="156"/>
      <c r="E491" s="156"/>
      <c r="F491" s="156"/>
      <c r="G491" s="156"/>
      <c r="H491" s="156"/>
      <c r="I491" s="156"/>
      <c r="J491" s="157"/>
    </row>
    <row r="492" spans="1:10" ht="12.75" customHeight="1">
      <c r="A492" s="158"/>
      <c r="B492" s="156"/>
      <c r="C492" s="156"/>
      <c r="D492" s="156"/>
      <c r="E492" s="156"/>
      <c r="F492" s="156"/>
      <c r="G492" s="156"/>
      <c r="H492" s="156"/>
      <c r="I492" s="156"/>
      <c r="J492" s="157"/>
    </row>
    <row r="493" spans="1:10" ht="12.75" customHeight="1">
      <c r="A493" s="158"/>
      <c r="B493" s="156"/>
      <c r="C493" s="156"/>
      <c r="D493" s="156"/>
      <c r="E493" s="156"/>
      <c r="F493" s="156"/>
      <c r="G493" s="156"/>
      <c r="H493" s="156"/>
      <c r="I493" s="156"/>
      <c r="J493" s="157"/>
    </row>
    <row r="494" spans="1:10" ht="12.75" customHeight="1">
      <c r="A494" s="158"/>
      <c r="B494" s="156"/>
      <c r="C494" s="156"/>
      <c r="D494" s="156"/>
      <c r="E494" s="156"/>
      <c r="F494" s="156"/>
      <c r="G494" s="156"/>
      <c r="H494" s="156"/>
      <c r="I494" s="156"/>
      <c r="J494" s="157"/>
    </row>
    <row r="495" spans="1:10" ht="12.75" customHeight="1">
      <c r="A495" s="158"/>
      <c r="B495" s="156"/>
      <c r="C495" s="156"/>
      <c r="D495" s="156"/>
      <c r="E495" s="156"/>
      <c r="F495" s="156"/>
      <c r="G495" s="156"/>
      <c r="H495" s="156"/>
      <c r="I495" s="156"/>
      <c r="J495" s="157"/>
    </row>
    <row r="496" spans="1:10" ht="12.75" customHeight="1">
      <c r="A496" s="158"/>
      <c r="B496" s="156"/>
      <c r="C496" s="156"/>
      <c r="D496" s="156"/>
      <c r="E496" s="156"/>
      <c r="F496" s="156"/>
      <c r="G496" s="156"/>
      <c r="H496" s="156"/>
      <c r="I496" s="156"/>
      <c r="J496" s="157"/>
    </row>
    <row r="497" spans="1:10" ht="12.75" customHeight="1">
      <c r="A497" s="158"/>
      <c r="B497" s="156"/>
      <c r="C497" s="156"/>
      <c r="D497" s="156"/>
      <c r="E497" s="156"/>
      <c r="F497" s="156"/>
      <c r="G497" s="156"/>
      <c r="H497" s="156"/>
      <c r="I497" s="156"/>
      <c r="J497" s="157"/>
    </row>
    <row r="498" spans="1:10" ht="12.75" customHeight="1">
      <c r="A498" s="158"/>
      <c r="B498" s="156"/>
      <c r="C498" s="156"/>
      <c r="D498" s="156"/>
      <c r="E498" s="156"/>
      <c r="F498" s="156"/>
      <c r="G498" s="156"/>
      <c r="H498" s="156"/>
      <c r="I498" s="156"/>
      <c r="J498" s="157"/>
    </row>
    <row r="499" spans="1:10" ht="12.75" customHeight="1">
      <c r="A499" s="158"/>
      <c r="B499" s="156"/>
      <c r="C499" s="156"/>
      <c r="D499" s="156"/>
      <c r="E499" s="156"/>
      <c r="F499" s="156"/>
      <c r="G499" s="156"/>
      <c r="H499" s="156"/>
      <c r="I499" s="156"/>
      <c r="J499" s="157"/>
    </row>
    <row r="500" spans="1:10" ht="12.75" customHeight="1">
      <c r="A500" s="158"/>
      <c r="B500" s="156"/>
      <c r="C500" s="156"/>
      <c r="D500" s="156"/>
      <c r="E500" s="156"/>
      <c r="F500" s="156"/>
      <c r="G500" s="156"/>
      <c r="H500" s="156"/>
      <c r="I500" s="156"/>
      <c r="J500" s="157"/>
    </row>
    <row r="501" spans="1:10" ht="12.75" customHeight="1">
      <c r="A501" s="158"/>
      <c r="B501" s="156"/>
      <c r="C501" s="156"/>
      <c r="D501" s="156"/>
      <c r="E501" s="156"/>
      <c r="F501" s="156"/>
      <c r="G501" s="156"/>
      <c r="H501" s="156"/>
      <c r="I501" s="156"/>
      <c r="J501" s="157"/>
    </row>
    <row r="502" spans="1:10" ht="12.75" customHeight="1">
      <c r="A502" s="158"/>
      <c r="B502" s="156"/>
      <c r="C502" s="156"/>
      <c r="D502" s="156"/>
      <c r="E502" s="156"/>
      <c r="F502" s="156"/>
      <c r="G502" s="156"/>
      <c r="H502" s="156"/>
      <c r="I502" s="156"/>
      <c r="J502" s="157"/>
    </row>
    <row r="503" spans="1:10" ht="12.75" customHeight="1">
      <c r="A503" s="158"/>
      <c r="B503" s="156"/>
      <c r="C503" s="156"/>
      <c r="D503" s="156"/>
      <c r="E503" s="156"/>
      <c r="F503" s="156"/>
      <c r="G503" s="156"/>
      <c r="H503" s="156"/>
      <c r="I503" s="156"/>
      <c r="J503" s="157"/>
    </row>
    <row r="504" spans="1:10" ht="12.75" customHeight="1">
      <c r="A504" s="158"/>
      <c r="B504" s="156"/>
      <c r="C504" s="156"/>
      <c r="D504" s="156"/>
      <c r="E504" s="156"/>
      <c r="F504" s="156"/>
      <c r="G504" s="156"/>
      <c r="H504" s="156"/>
      <c r="I504" s="156"/>
      <c r="J504" s="157"/>
    </row>
    <row r="505" spans="1:10" ht="12.75" customHeight="1">
      <c r="A505" s="158"/>
      <c r="B505" s="156"/>
      <c r="C505" s="156"/>
      <c r="D505" s="156"/>
      <c r="E505" s="156"/>
      <c r="F505" s="156"/>
      <c r="G505" s="156"/>
      <c r="H505" s="156"/>
      <c r="I505" s="156"/>
      <c r="J505" s="157"/>
    </row>
    <row r="506" spans="1:10" ht="12.75" customHeight="1">
      <c r="A506" s="158"/>
      <c r="B506" s="156"/>
      <c r="C506" s="156"/>
      <c r="D506" s="156"/>
      <c r="E506" s="156"/>
      <c r="F506" s="156"/>
      <c r="G506" s="156"/>
      <c r="H506" s="156"/>
      <c r="I506" s="156"/>
      <c r="J506" s="157"/>
    </row>
    <row r="507" spans="1:10" ht="12.75" customHeight="1">
      <c r="A507" s="158"/>
      <c r="B507" s="156"/>
      <c r="C507" s="156"/>
      <c r="D507" s="156"/>
      <c r="E507" s="156"/>
      <c r="F507" s="156"/>
      <c r="G507" s="156"/>
      <c r="H507" s="156"/>
      <c r="I507" s="156"/>
      <c r="J507" s="157"/>
    </row>
    <row r="508" spans="1:10" ht="12.75" customHeight="1">
      <c r="A508" s="158"/>
      <c r="B508" s="156"/>
      <c r="C508" s="156"/>
      <c r="D508" s="156"/>
      <c r="E508" s="156"/>
      <c r="F508" s="156"/>
      <c r="G508" s="156"/>
      <c r="H508" s="156"/>
      <c r="I508" s="156"/>
      <c r="J508" s="157"/>
    </row>
    <row r="509" spans="1:10" ht="12.75" customHeight="1">
      <c r="A509" s="158"/>
      <c r="B509" s="156"/>
      <c r="C509" s="156"/>
      <c r="D509" s="156"/>
      <c r="E509" s="156"/>
      <c r="F509" s="156"/>
      <c r="G509" s="156"/>
      <c r="H509" s="156"/>
      <c r="I509" s="156"/>
      <c r="J509" s="157"/>
    </row>
    <row r="510" spans="1:10" ht="12.75" customHeight="1">
      <c r="A510" s="158"/>
      <c r="B510" s="156"/>
      <c r="C510" s="156"/>
      <c r="D510" s="156"/>
      <c r="E510" s="156"/>
      <c r="F510" s="156"/>
      <c r="G510" s="156"/>
      <c r="H510" s="156"/>
      <c r="I510" s="156"/>
      <c r="J510" s="157"/>
    </row>
    <row r="511" spans="1:10" ht="12.75" customHeight="1">
      <c r="A511" s="158"/>
      <c r="B511" s="156"/>
      <c r="C511" s="156"/>
      <c r="D511" s="156"/>
      <c r="E511" s="156"/>
      <c r="F511" s="156"/>
      <c r="G511" s="156"/>
      <c r="H511" s="156"/>
      <c r="I511" s="156"/>
      <c r="J511" s="157"/>
    </row>
    <row r="512" spans="1:10" ht="12.75" customHeight="1">
      <c r="A512" s="158"/>
      <c r="B512" s="156"/>
      <c r="C512" s="156"/>
      <c r="D512" s="156"/>
      <c r="E512" s="156"/>
      <c r="F512" s="156"/>
      <c r="G512" s="156"/>
      <c r="H512" s="156"/>
      <c r="I512" s="156"/>
      <c r="J512" s="157"/>
    </row>
    <row r="513" spans="1:10" ht="12.75" customHeight="1">
      <c r="A513" s="158"/>
      <c r="B513" s="156"/>
      <c r="C513" s="156"/>
      <c r="D513" s="156"/>
      <c r="E513" s="156"/>
      <c r="F513" s="156"/>
      <c r="G513" s="156"/>
      <c r="H513" s="156"/>
      <c r="I513" s="156"/>
      <c r="J513" s="157"/>
    </row>
    <row r="514" spans="1:10" ht="12.75" customHeight="1">
      <c r="A514" s="158"/>
      <c r="B514" s="156"/>
      <c r="C514" s="156"/>
      <c r="D514" s="156"/>
      <c r="E514" s="156"/>
      <c r="F514" s="156"/>
      <c r="G514" s="156"/>
      <c r="H514" s="156"/>
      <c r="I514" s="156"/>
      <c r="J514" s="157"/>
    </row>
    <row r="515" spans="1:10" ht="12.75" customHeight="1">
      <c r="A515" s="158"/>
      <c r="B515" s="156"/>
      <c r="C515" s="156"/>
      <c r="D515" s="156"/>
      <c r="E515" s="156"/>
      <c r="F515" s="156"/>
      <c r="G515" s="156"/>
      <c r="H515" s="156"/>
      <c r="I515" s="156"/>
      <c r="J515" s="157"/>
    </row>
    <row r="516" spans="1:10" ht="12.75" customHeight="1">
      <c r="A516" s="158"/>
      <c r="B516" s="156"/>
      <c r="C516" s="156"/>
      <c r="D516" s="156"/>
      <c r="E516" s="156"/>
      <c r="F516" s="156"/>
      <c r="G516" s="156"/>
      <c r="H516" s="156"/>
      <c r="I516" s="156"/>
      <c r="J516" s="157"/>
    </row>
    <row r="517" spans="1:10" ht="12.75" customHeight="1">
      <c r="A517" s="199"/>
      <c r="B517" s="167"/>
      <c r="C517" s="167"/>
      <c r="D517" s="167"/>
      <c r="E517" s="167"/>
      <c r="F517" s="167"/>
      <c r="G517" s="167"/>
      <c r="H517" s="167"/>
      <c r="I517" s="167"/>
      <c r="J517" s="168"/>
    </row>
    <row r="518" spans="1:10" ht="12.75" customHeight="1"/>
    <row r="519" spans="1:10" ht="12.75" customHeight="1">
      <c r="A519" s="207" t="s">
        <v>65</v>
      </c>
      <c r="B519" s="152"/>
      <c r="C519" s="152"/>
      <c r="D519" s="152"/>
      <c r="E519" s="152"/>
      <c r="F519" s="152"/>
      <c r="G519" s="181"/>
      <c r="H519" s="208" t="str">
        <f>'CONTACT INFORMATION'!$A$24</f>
        <v>Humboldt</v>
      </c>
      <c r="I519" s="152"/>
      <c r="J519" s="153"/>
    </row>
    <row r="520" spans="1:10" ht="7.5" customHeight="1">
      <c r="A520" s="107"/>
      <c r="B520" s="107"/>
      <c r="C520" s="107"/>
      <c r="D520" s="107"/>
      <c r="E520" s="107"/>
      <c r="F520" s="107"/>
      <c r="G520" s="107"/>
      <c r="H520" s="107"/>
      <c r="I520" s="107"/>
      <c r="J520" s="107"/>
    </row>
    <row r="521" spans="1:10" ht="12.75" customHeight="1">
      <c r="A521" s="251" t="s">
        <v>171</v>
      </c>
      <c r="B521" s="152"/>
      <c r="C521" s="152"/>
      <c r="D521" s="152"/>
      <c r="E521" s="152"/>
      <c r="F521" s="152"/>
      <c r="G521" s="152"/>
      <c r="H521" s="152"/>
      <c r="I521" s="152"/>
      <c r="J521" s="153"/>
    </row>
    <row r="522" spans="1:10" ht="12.75" customHeight="1">
      <c r="A522" s="252" t="s">
        <v>140</v>
      </c>
      <c r="B522" s="163"/>
      <c r="C522" s="163"/>
      <c r="D522" s="164"/>
      <c r="E522" s="269"/>
      <c r="F522" s="197"/>
      <c r="G522" s="197"/>
      <c r="H522" s="197"/>
      <c r="I522" s="197"/>
      <c r="J522" s="198"/>
    </row>
    <row r="523" spans="1:10" ht="12.75" customHeight="1">
      <c r="A523" s="254" t="s">
        <v>161</v>
      </c>
      <c r="B523" s="149"/>
      <c r="C523" s="149"/>
      <c r="D523" s="150"/>
      <c r="E523" s="199"/>
      <c r="F523" s="167"/>
      <c r="G523" s="167"/>
      <c r="H523" s="167"/>
      <c r="I523" s="167"/>
      <c r="J523" s="168"/>
    </row>
    <row r="524" spans="1:10" ht="12.75" customHeight="1">
      <c r="A524" s="259" t="s">
        <v>172</v>
      </c>
      <c r="B524" s="152"/>
      <c r="C524" s="152"/>
      <c r="D524" s="153"/>
      <c r="E524" s="221"/>
      <c r="F524" s="152"/>
      <c r="G524" s="152"/>
      <c r="H524" s="152"/>
      <c r="I524" s="152"/>
      <c r="J524" s="153"/>
    </row>
    <row r="525" spans="1:10" ht="27" customHeight="1">
      <c r="A525" s="108"/>
      <c r="B525" s="104"/>
      <c r="C525" s="104"/>
      <c r="D525" s="104"/>
      <c r="E525" s="255" t="s">
        <v>143</v>
      </c>
      <c r="F525" s="167"/>
      <c r="G525" s="255" t="s">
        <v>144</v>
      </c>
      <c r="H525" s="167"/>
      <c r="I525" s="256" t="s">
        <v>145</v>
      </c>
      <c r="J525" s="168"/>
    </row>
    <row r="526" spans="1:10" ht="12.75" customHeight="1">
      <c r="A526" s="220" t="s">
        <v>146</v>
      </c>
      <c r="B526" s="152"/>
      <c r="C526" s="152"/>
      <c r="D526" s="153"/>
      <c r="E526" s="239"/>
      <c r="F526" s="153"/>
      <c r="G526" s="239"/>
      <c r="H526" s="153"/>
      <c r="I526" s="240"/>
      <c r="J526" s="153"/>
    </row>
    <row r="527" spans="1:10" ht="12.75" customHeight="1">
      <c r="A527" s="241" t="s">
        <v>147</v>
      </c>
      <c r="B527" s="152"/>
      <c r="C527" s="152"/>
      <c r="D527" s="153"/>
      <c r="E527" s="264"/>
      <c r="F527" s="153"/>
      <c r="G527" s="257"/>
      <c r="H527" s="153"/>
      <c r="I527" s="258"/>
      <c r="J527" s="153"/>
    </row>
    <row r="528" spans="1:10" ht="12.75" customHeight="1">
      <c r="A528" s="220" t="s">
        <v>148</v>
      </c>
      <c r="B528" s="152"/>
      <c r="C528" s="152"/>
      <c r="D528" s="153"/>
      <c r="E528" s="239"/>
      <c r="F528" s="153"/>
      <c r="G528" s="239"/>
      <c r="H528" s="153"/>
      <c r="I528" s="240"/>
      <c r="J528" s="153"/>
    </row>
    <row r="529" spans="1:10" ht="12.75" customHeight="1">
      <c r="A529" s="241" t="s">
        <v>149</v>
      </c>
      <c r="B529" s="152"/>
      <c r="C529" s="152"/>
      <c r="D529" s="153"/>
      <c r="E529" s="264"/>
      <c r="F529" s="153"/>
      <c r="G529" s="257"/>
      <c r="H529" s="153"/>
      <c r="I529" s="258"/>
      <c r="J529" s="153"/>
    </row>
    <row r="530" spans="1:10" ht="12.75" customHeight="1">
      <c r="A530" s="220" t="s">
        <v>150</v>
      </c>
      <c r="B530" s="152"/>
      <c r="C530" s="152"/>
      <c r="D530" s="153"/>
      <c r="E530" s="239"/>
      <c r="F530" s="153"/>
      <c r="G530" s="239"/>
      <c r="H530" s="153"/>
      <c r="I530" s="240"/>
      <c r="J530" s="153"/>
    </row>
    <row r="531" spans="1:10" ht="12.75" customHeight="1">
      <c r="A531" s="241" t="s">
        <v>151</v>
      </c>
      <c r="B531" s="152"/>
      <c r="C531" s="152"/>
      <c r="D531" s="153"/>
      <c r="E531" s="264"/>
      <c r="F531" s="153"/>
      <c r="G531" s="257"/>
      <c r="H531" s="153"/>
      <c r="I531" s="258"/>
      <c r="J531" s="153"/>
    </row>
    <row r="532" spans="1:10" ht="12.75" customHeight="1">
      <c r="A532" s="220" t="s">
        <v>152</v>
      </c>
      <c r="B532" s="152"/>
      <c r="C532" s="152"/>
      <c r="D532" s="153"/>
      <c r="E532" s="262"/>
      <c r="F532" s="153"/>
      <c r="G532" s="262"/>
      <c r="H532" s="153"/>
      <c r="I532" s="263"/>
      <c r="J532" s="153"/>
    </row>
    <row r="533" spans="1:10" ht="12.75" customHeight="1">
      <c r="A533" s="265"/>
      <c r="B533" s="152"/>
      <c r="C533" s="152"/>
      <c r="D533" s="153"/>
      <c r="E533" s="264"/>
      <c r="F533" s="153"/>
      <c r="G533" s="257"/>
      <c r="H533" s="153"/>
      <c r="I533" s="257"/>
      <c r="J533" s="153"/>
    </row>
    <row r="534" spans="1:10" ht="12.75" customHeight="1">
      <c r="A534" s="265"/>
      <c r="B534" s="152"/>
      <c r="C534" s="152"/>
      <c r="D534" s="153"/>
      <c r="E534" s="264"/>
      <c r="F534" s="153"/>
      <c r="G534" s="257"/>
      <c r="H534" s="153"/>
      <c r="I534" s="257"/>
      <c r="J534" s="153"/>
    </row>
    <row r="535" spans="1:10" ht="12.75" customHeight="1">
      <c r="A535" s="265"/>
      <c r="B535" s="152"/>
      <c r="C535" s="152"/>
      <c r="D535" s="153"/>
      <c r="E535" s="264"/>
      <c r="F535" s="153"/>
      <c r="G535" s="257"/>
      <c r="H535" s="153"/>
      <c r="I535" s="257"/>
      <c r="J535" s="153"/>
    </row>
    <row r="536" spans="1:10" ht="12.75" customHeight="1">
      <c r="A536" s="222" t="s">
        <v>153</v>
      </c>
      <c r="B536" s="152"/>
      <c r="C536" s="152"/>
      <c r="D536" s="153"/>
      <c r="E536" s="266">
        <f>SUM(E526:E535)</f>
        <v>0</v>
      </c>
      <c r="F536" s="153"/>
      <c r="G536" s="266">
        <f>SUM(G526:G535)</f>
        <v>0</v>
      </c>
      <c r="H536" s="153"/>
      <c r="I536" s="266">
        <f>SUM(I526:I535)</f>
        <v>0</v>
      </c>
      <c r="J536" s="153"/>
    </row>
    <row r="537" spans="1:10" ht="12.75" customHeight="1">
      <c r="A537" s="267" t="s">
        <v>154</v>
      </c>
      <c r="B537" s="163"/>
      <c r="C537" s="163"/>
      <c r="D537" s="163"/>
      <c r="E537" s="163"/>
      <c r="F537" s="163"/>
      <c r="G537" s="163"/>
      <c r="H537" s="163"/>
      <c r="I537" s="163"/>
      <c r="J537" s="164"/>
    </row>
    <row r="538" spans="1:10" ht="12.75" customHeight="1">
      <c r="A538" s="268" t="s">
        <v>155</v>
      </c>
      <c r="B538" s="171"/>
      <c r="C538" s="171"/>
      <c r="D538" s="171"/>
      <c r="E538" s="171"/>
      <c r="F538" s="171"/>
      <c r="G538" s="171"/>
      <c r="H538" s="171"/>
      <c r="I538" s="171"/>
      <c r="J538" s="172"/>
    </row>
    <row r="539" spans="1:10" ht="12.75" customHeight="1">
      <c r="A539" s="268" t="s">
        <v>156</v>
      </c>
      <c r="B539" s="171"/>
      <c r="C539" s="171"/>
      <c r="D539" s="171"/>
      <c r="E539" s="171"/>
      <c r="F539" s="171"/>
      <c r="G539" s="171"/>
      <c r="H539" s="171"/>
      <c r="I539" s="171"/>
      <c r="J539" s="172"/>
    </row>
    <row r="540" spans="1:10" ht="12.75" customHeight="1">
      <c r="A540" s="260" t="s">
        <v>157</v>
      </c>
      <c r="B540" s="149"/>
      <c r="C540" s="149"/>
      <c r="D540" s="149"/>
      <c r="E540" s="149"/>
      <c r="F540" s="149"/>
      <c r="G540" s="149"/>
      <c r="H540" s="149"/>
      <c r="I540" s="149"/>
      <c r="J540" s="150"/>
    </row>
    <row r="541" spans="1:10" ht="12.75" customHeight="1">
      <c r="A541" s="196"/>
      <c r="B541" s="197"/>
      <c r="C541" s="197"/>
      <c r="D541" s="197"/>
      <c r="E541" s="197"/>
      <c r="F541" s="197"/>
      <c r="G541" s="197"/>
      <c r="H541" s="197"/>
      <c r="I541" s="197"/>
      <c r="J541" s="198"/>
    </row>
    <row r="542" spans="1:10" ht="12.75" customHeight="1">
      <c r="A542" s="158"/>
      <c r="B542" s="156"/>
      <c r="C542" s="156"/>
      <c r="D542" s="156"/>
      <c r="E542" s="156"/>
      <c r="F542" s="156"/>
      <c r="G542" s="156"/>
      <c r="H542" s="156"/>
      <c r="I542" s="156"/>
      <c r="J542" s="157"/>
    </row>
    <row r="543" spans="1:10" ht="12.75" customHeight="1">
      <c r="A543" s="158"/>
      <c r="B543" s="156"/>
      <c r="C543" s="156"/>
      <c r="D543" s="156"/>
      <c r="E543" s="156"/>
      <c r="F543" s="156"/>
      <c r="G543" s="156"/>
      <c r="H543" s="156"/>
      <c r="I543" s="156"/>
      <c r="J543" s="157"/>
    </row>
    <row r="544" spans="1:10" ht="12.75" customHeight="1">
      <c r="A544" s="158"/>
      <c r="B544" s="156"/>
      <c r="C544" s="156"/>
      <c r="D544" s="156"/>
      <c r="E544" s="156"/>
      <c r="F544" s="156"/>
      <c r="G544" s="156"/>
      <c r="H544" s="156"/>
      <c r="I544" s="156"/>
      <c r="J544" s="157"/>
    </row>
    <row r="545" spans="1:10" ht="12.75" customHeight="1">
      <c r="A545" s="158"/>
      <c r="B545" s="156"/>
      <c r="C545" s="156"/>
      <c r="D545" s="156"/>
      <c r="E545" s="156"/>
      <c r="F545" s="156"/>
      <c r="G545" s="156"/>
      <c r="H545" s="156"/>
      <c r="I545" s="156"/>
      <c r="J545" s="157"/>
    </row>
    <row r="546" spans="1:10" ht="12.75" customHeight="1">
      <c r="A546" s="158"/>
      <c r="B546" s="156"/>
      <c r="C546" s="156"/>
      <c r="D546" s="156"/>
      <c r="E546" s="156"/>
      <c r="F546" s="156"/>
      <c r="G546" s="156"/>
      <c r="H546" s="156"/>
      <c r="I546" s="156"/>
      <c r="J546" s="157"/>
    </row>
    <row r="547" spans="1:10" ht="12.75" customHeight="1">
      <c r="A547" s="158"/>
      <c r="B547" s="156"/>
      <c r="C547" s="156"/>
      <c r="D547" s="156"/>
      <c r="E547" s="156"/>
      <c r="F547" s="156"/>
      <c r="G547" s="156"/>
      <c r="H547" s="156"/>
      <c r="I547" s="156"/>
      <c r="J547" s="157"/>
    </row>
    <row r="548" spans="1:10" ht="12.75" customHeight="1">
      <c r="A548" s="158"/>
      <c r="B548" s="156"/>
      <c r="C548" s="156"/>
      <c r="D548" s="156"/>
      <c r="E548" s="156"/>
      <c r="F548" s="156"/>
      <c r="G548" s="156"/>
      <c r="H548" s="156"/>
      <c r="I548" s="156"/>
      <c r="J548" s="157"/>
    </row>
    <row r="549" spans="1:10" ht="12.75" customHeight="1">
      <c r="A549" s="158"/>
      <c r="B549" s="156"/>
      <c r="C549" s="156"/>
      <c r="D549" s="156"/>
      <c r="E549" s="156"/>
      <c r="F549" s="156"/>
      <c r="G549" s="156"/>
      <c r="H549" s="156"/>
      <c r="I549" s="156"/>
      <c r="J549" s="157"/>
    </row>
    <row r="550" spans="1:10" ht="12.75" customHeight="1">
      <c r="A550" s="158"/>
      <c r="B550" s="156"/>
      <c r="C550" s="156"/>
      <c r="D550" s="156"/>
      <c r="E550" s="156"/>
      <c r="F550" s="156"/>
      <c r="G550" s="156"/>
      <c r="H550" s="156"/>
      <c r="I550" s="156"/>
      <c r="J550" s="157"/>
    </row>
    <row r="551" spans="1:10" ht="12.75" customHeight="1">
      <c r="A551" s="158"/>
      <c r="B551" s="156"/>
      <c r="C551" s="156"/>
      <c r="D551" s="156"/>
      <c r="E551" s="156"/>
      <c r="F551" s="156"/>
      <c r="G551" s="156"/>
      <c r="H551" s="156"/>
      <c r="I551" s="156"/>
      <c r="J551" s="157"/>
    </row>
    <row r="552" spans="1:10" ht="12.75" customHeight="1">
      <c r="A552" s="158"/>
      <c r="B552" s="156"/>
      <c r="C552" s="156"/>
      <c r="D552" s="156"/>
      <c r="E552" s="156"/>
      <c r="F552" s="156"/>
      <c r="G552" s="156"/>
      <c r="H552" s="156"/>
      <c r="I552" s="156"/>
      <c r="J552" s="157"/>
    </row>
    <row r="553" spans="1:10" ht="12.75" customHeight="1">
      <c r="A553" s="158"/>
      <c r="B553" s="156"/>
      <c r="C553" s="156"/>
      <c r="D553" s="156"/>
      <c r="E553" s="156"/>
      <c r="F553" s="156"/>
      <c r="G553" s="156"/>
      <c r="H553" s="156"/>
      <c r="I553" s="156"/>
      <c r="J553" s="157"/>
    </row>
    <row r="554" spans="1:10" ht="12.75" customHeight="1">
      <c r="A554" s="158"/>
      <c r="B554" s="156"/>
      <c r="C554" s="156"/>
      <c r="D554" s="156"/>
      <c r="E554" s="156"/>
      <c r="F554" s="156"/>
      <c r="G554" s="156"/>
      <c r="H554" s="156"/>
      <c r="I554" s="156"/>
      <c r="J554" s="157"/>
    </row>
    <row r="555" spans="1:10" ht="12.75" customHeight="1">
      <c r="A555" s="158"/>
      <c r="B555" s="156"/>
      <c r="C555" s="156"/>
      <c r="D555" s="156"/>
      <c r="E555" s="156"/>
      <c r="F555" s="156"/>
      <c r="G555" s="156"/>
      <c r="H555" s="156"/>
      <c r="I555" s="156"/>
      <c r="J555" s="157"/>
    </row>
    <row r="556" spans="1:10" ht="12.75" customHeight="1">
      <c r="A556" s="158"/>
      <c r="B556" s="156"/>
      <c r="C556" s="156"/>
      <c r="D556" s="156"/>
      <c r="E556" s="156"/>
      <c r="F556" s="156"/>
      <c r="G556" s="156"/>
      <c r="H556" s="156"/>
      <c r="I556" s="156"/>
      <c r="J556" s="157"/>
    </row>
    <row r="557" spans="1:10" ht="12.75" customHeight="1">
      <c r="A557" s="158"/>
      <c r="B557" s="156"/>
      <c r="C557" s="156"/>
      <c r="D557" s="156"/>
      <c r="E557" s="156"/>
      <c r="F557" s="156"/>
      <c r="G557" s="156"/>
      <c r="H557" s="156"/>
      <c r="I557" s="156"/>
      <c r="J557" s="157"/>
    </row>
    <row r="558" spans="1:10" ht="12.75" customHeight="1">
      <c r="A558" s="158"/>
      <c r="B558" s="156"/>
      <c r="C558" s="156"/>
      <c r="D558" s="156"/>
      <c r="E558" s="156"/>
      <c r="F558" s="156"/>
      <c r="G558" s="156"/>
      <c r="H558" s="156"/>
      <c r="I558" s="156"/>
      <c r="J558" s="157"/>
    </row>
    <row r="559" spans="1:10" ht="12.75" customHeight="1">
      <c r="A559" s="158"/>
      <c r="B559" s="156"/>
      <c r="C559" s="156"/>
      <c r="D559" s="156"/>
      <c r="E559" s="156"/>
      <c r="F559" s="156"/>
      <c r="G559" s="156"/>
      <c r="H559" s="156"/>
      <c r="I559" s="156"/>
      <c r="J559" s="157"/>
    </row>
    <row r="560" spans="1:10" ht="12.75" customHeight="1">
      <c r="A560" s="158"/>
      <c r="B560" s="156"/>
      <c r="C560" s="156"/>
      <c r="D560" s="156"/>
      <c r="E560" s="156"/>
      <c r="F560" s="156"/>
      <c r="G560" s="156"/>
      <c r="H560" s="156"/>
      <c r="I560" s="156"/>
      <c r="J560" s="157"/>
    </row>
    <row r="561" spans="1:10" ht="12.75" customHeight="1">
      <c r="A561" s="158"/>
      <c r="B561" s="156"/>
      <c r="C561" s="156"/>
      <c r="D561" s="156"/>
      <c r="E561" s="156"/>
      <c r="F561" s="156"/>
      <c r="G561" s="156"/>
      <c r="H561" s="156"/>
      <c r="I561" s="156"/>
      <c r="J561" s="157"/>
    </row>
    <row r="562" spans="1:10" ht="12.75" customHeight="1">
      <c r="A562" s="158"/>
      <c r="B562" s="156"/>
      <c r="C562" s="156"/>
      <c r="D562" s="156"/>
      <c r="E562" s="156"/>
      <c r="F562" s="156"/>
      <c r="G562" s="156"/>
      <c r="H562" s="156"/>
      <c r="I562" s="156"/>
      <c r="J562" s="157"/>
    </row>
    <row r="563" spans="1:10" ht="12.75" customHeight="1">
      <c r="A563" s="158"/>
      <c r="B563" s="156"/>
      <c r="C563" s="156"/>
      <c r="D563" s="156"/>
      <c r="E563" s="156"/>
      <c r="F563" s="156"/>
      <c r="G563" s="156"/>
      <c r="H563" s="156"/>
      <c r="I563" s="156"/>
      <c r="J563" s="157"/>
    </row>
    <row r="564" spans="1:10" ht="12.75" customHeight="1">
      <c r="A564" s="158"/>
      <c r="B564" s="156"/>
      <c r="C564" s="156"/>
      <c r="D564" s="156"/>
      <c r="E564" s="156"/>
      <c r="F564" s="156"/>
      <c r="G564" s="156"/>
      <c r="H564" s="156"/>
      <c r="I564" s="156"/>
      <c r="J564" s="157"/>
    </row>
    <row r="565" spans="1:10" ht="12.75" customHeight="1">
      <c r="A565" s="158"/>
      <c r="B565" s="156"/>
      <c r="C565" s="156"/>
      <c r="D565" s="156"/>
      <c r="E565" s="156"/>
      <c r="F565" s="156"/>
      <c r="G565" s="156"/>
      <c r="H565" s="156"/>
      <c r="I565" s="156"/>
      <c r="J565" s="157"/>
    </row>
    <row r="566" spans="1:10" ht="12.75" customHeight="1">
      <c r="A566" s="158"/>
      <c r="B566" s="156"/>
      <c r="C566" s="156"/>
      <c r="D566" s="156"/>
      <c r="E566" s="156"/>
      <c r="F566" s="156"/>
      <c r="G566" s="156"/>
      <c r="H566" s="156"/>
      <c r="I566" s="156"/>
      <c r="J566" s="157"/>
    </row>
    <row r="567" spans="1:10" ht="12.75" customHeight="1">
      <c r="A567" s="158"/>
      <c r="B567" s="156"/>
      <c r="C567" s="156"/>
      <c r="D567" s="156"/>
      <c r="E567" s="156"/>
      <c r="F567" s="156"/>
      <c r="G567" s="156"/>
      <c r="H567" s="156"/>
      <c r="I567" s="156"/>
      <c r="J567" s="157"/>
    </row>
    <row r="568" spans="1:10" ht="12.75" customHeight="1">
      <c r="A568" s="158"/>
      <c r="B568" s="156"/>
      <c r="C568" s="156"/>
      <c r="D568" s="156"/>
      <c r="E568" s="156"/>
      <c r="F568" s="156"/>
      <c r="G568" s="156"/>
      <c r="H568" s="156"/>
      <c r="I568" s="156"/>
      <c r="J568" s="157"/>
    </row>
    <row r="569" spans="1:10" ht="12.75" customHeight="1">
      <c r="A569" s="158"/>
      <c r="B569" s="156"/>
      <c r="C569" s="156"/>
      <c r="D569" s="156"/>
      <c r="E569" s="156"/>
      <c r="F569" s="156"/>
      <c r="G569" s="156"/>
      <c r="H569" s="156"/>
      <c r="I569" s="156"/>
      <c r="J569" s="157"/>
    </row>
    <row r="570" spans="1:10" ht="12.75" customHeight="1">
      <c r="A570" s="158"/>
      <c r="B570" s="156"/>
      <c r="C570" s="156"/>
      <c r="D570" s="156"/>
      <c r="E570" s="156"/>
      <c r="F570" s="156"/>
      <c r="G570" s="156"/>
      <c r="H570" s="156"/>
      <c r="I570" s="156"/>
      <c r="J570" s="157"/>
    </row>
    <row r="571" spans="1:10" ht="12.75" customHeight="1">
      <c r="A571" s="158"/>
      <c r="B571" s="156"/>
      <c r="C571" s="156"/>
      <c r="D571" s="156"/>
      <c r="E571" s="156"/>
      <c r="F571" s="156"/>
      <c r="G571" s="156"/>
      <c r="H571" s="156"/>
      <c r="I571" s="156"/>
      <c r="J571" s="157"/>
    </row>
    <row r="572" spans="1:10" ht="12.75" customHeight="1">
      <c r="A572" s="158"/>
      <c r="B572" s="156"/>
      <c r="C572" s="156"/>
      <c r="D572" s="156"/>
      <c r="E572" s="156"/>
      <c r="F572" s="156"/>
      <c r="G572" s="156"/>
      <c r="H572" s="156"/>
      <c r="I572" s="156"/>
      <c r="J572" s="157"/>
    </row>
    <row r="573" spans="1:10" ht="12.75" customHeight="1">
      <c r="A573" s="158"/>
      <c r="B573" s="156"/>
      <c r="C573" s="156"/>
      <c r="D573" s="156"/>
      <c r="E573" s="156"/>
      <c r="F573" s="156"/>
      <c r="G573" s="156"/>
      <c r="H573" s="156"/>
      <c r="I573" s="156"/>
      <c r="J573" s="157"/>
    </row>
    <row r="574" spans="1:10" ht="12.75" customHeight="1">
      <c r="A574" s="158"/>
      <c r="B574" s="156"/>
      <c r="C574" s="156"/>
      <c r="D574" s="156"/>
      <c r="E574" s="156"/>
      <c r="F574" s="156"/>
      <c r="G574" s="156"/>
      <c r="H574" s="156"/>
      <c r="I574" s="156"/>
      <c r="J574" s="157"/>
    </row>
    <row r="575" spans="1:10" ht="12.75" customHeight="1">
      <c r="A575" s="199"/>
      <c r="B575" s="167"/>
      <c r="C575" s="167"/>
      <c r="D575" s="167"/>
      <c r="E575" s="167"/>
      <c r="F575" s="167"/>
      <c r="G575" s="167"/>
      <c r="H575" s="167"/>
      <c r="I575" s="167"/>
      <c r="J575" s="168"/>
    </row>
    <row r="576" spans="1:10" ht="12.75" customHeight="1"/>
    <row r="577" spans="1:10" ht="12.75" customHeight="1">
      <c r="A577" s="207" t="s">
        <v>65</v>
      </c>
      <c r="B577" s="152"/>
      <c r="C577" s="152"/>
      <c r="D577" s="152"/>
      <c r="E577" s="152"/>
      <c r="F577" s="152"/>
      <c r="G577" s="181"/>
      <c r="H577" s="208" t="str">
        <f>'CONTACT INFORMATION'!$A$24</f>
        <v>Humboldt</v>
      </c>
      <c r="I577" s="152"/>
      <c r="J577" s="153"/>
    </row>
    <row r="578" spans="1:10" ht="7.5" customHeight="1">
      <c r="A578" s="107"/>
      <c r="B578" s="107"/>
      <c r="C578" s="107"/>
      <c r="D578" s="107"/>
      <c r="E578" s="107"/>
      <c r="F578" s="107"/>
      <c r="G578" s="107"/>
      <c r="H578" s="107"/>
      <c r="I578" s="107"/>
      <c r="J578" s="107"/>
    </row>
    <row r="579" spans="1:10" ht="12.75" customHeight="1">
      <c r="A579" s="251" t="s">
        <v>173</v>
      </c>
      <c r="B579" s="152"/>
      <c r="C579" s="152"/>
      <c r="D579" s="152"/>
      <c r="E579" s="152"/>
      <c r="F579" s="152"/>
      <c r="G579" s="152"/>
      <c r="H579" s="152"/>
      <c r="I579" s="152"/>
      <c r="J579" s="153"/>
    </row>
    <row r="580" spans="1:10" ht="12.75" customHeight="1">
      <c r="A580" s="252" t="s">
        <v>140</v>
      </c>
      <c r="B580" s="163"/>
      <c r="C580" s="163"/>
      <c r="D580" s="164"/>
      <c r="E580" s="269"/>
      <c r="F580" s="197"/>
      <c r="G580" s="197"/>
      <c r="H580" s="197"/>
      <c r="I580" s="197"/>
      <c r="J580" s="198"/>
    </row>
    <row r="581" spans="1:10" ht="12.75" customHeight="1">
      <c r="A581" s="254" t="s">
        <v>161</v>
      </c>
      <c r="B581" s="149"/>
      <c r="C581" s="149"/>
      <c r="D581" s="150"/>
      <c r="E581" s="199"/>
      <c r="F581" s="167"/>
      <c r="G581" s="167"/>
      <c r="H581" s="167"/>
      <c r="I581" s="167"/>
      <c r="J581" s="168"/>
    </row>
    <row r="582" spans="1:10" ht="12.75" customHeight="1">
      <c r="A582" s="259" t="s">
        <v>174</v>
      </c>
      <c r="B582" s="152"/>
      <c r="C582" s="152"/>
      <c r="D582" s="153"/>
      <c r="E582" s="221"/>
      <c r="F582" s="152"/>
      <c r="G582" s="152"/>
      <c r="H582" s="152"/>
      <c r="I582" s="152"/>
      <c r="J582" s="153"/>
    </row>
    <row r="583" spans="1:10" ht="27" customHeight="1">
      <c r="A583" s="108"/>
      <c r="B583" s="104"/>
      <c r="C583" s="104"/>
      <c r="D583" s="104"/>
      <c r="E583" s="255" t="s">
        <v>143</v>
      </c>
      <c r="F583" s="167"/>
      <c r="G583" s="255" t="s">
        <v>144</v>
      </c>
      <c r="H583" s="167"/>
      <c r="I583" s="256" t="s">
        <v>145</v>
      </c>
      <c r="J583" s="168"/>
    </row>
    <row r="584" spans="1:10" ht="12.75" customHeight="1">
      <c r="A584" s="220" t="s">
        <v>146</v>
      </c>
      <c r="B584" s="152"/>
      <c r="C584" s="152"/>
      <c r="D584" s="153"/>
      <c r="E584" s="239"/>
      <c r="F584" s="153"/>
      <c r="G584" s="239"/>
      <c r="H584" s="153"/>
      <c r="I584" s="240"/>
      <c r="J584" s="153"/>
    </row>
    <row r="585" spans="1:10" ht="12.75" customHeight="1">
      <c r="A585" s="241" t="s">
        <v>147</v>
      </c>
      <c r="B585" s="152"/>
      <c r="C585" s="152"/>
      <c r="D585" s="153"/>
      <c r="E585" s="264"/>
      <c r="F585" s="153"/>
      <c r="G585" s="257"/>
      <c r="H585" s="153"/>
      <c r="I585" s="258"/>
      <c r="J585" s="153"/>
    </row>
    <row r="586" spans="1:10" ht="12.75" customHeight="1">
      <c r="A586" s="220" t="s">
        <v>148</v>
      </c>
      <c r="B586" s="152"/>
      <c r="C586" s="152"/>
      <c r="D586" s="153"/>
      <c r="E586" s="239"/>
      <c r="F586" s="153"/>
      <c r="G586" s="239"/>
      <c r="H586" s="153"/>
      <c r="I586" s="240"/>
      <c r="J586" s="153"/>
    </row>
    <row r="587" spans="1:10" ht="12.75" customHeight="1">
      <c r="A587" s="241" t="s">
        <v>149</v>
      </c>
      <c r="B587" s="152"/>
      <c r="C587" s="152"/>
      <c r="D587" s="153"/>
      <c r="E587" s="264"/>
      <c r="F587" s="153"/>
      <c r="G587" s="257"/>
      <c r="H587" s="153"/>
      <c r="I587" s="258"/>
      <c r="J587" s="153"/>
    </row>
    <row r="588" spans="1:10" ht="12.75" customHeight="1">
      <c r="A588" s="220" t="s">
        <v>150</v>
      </c>
      <c r="B588" s="152"/>
      <c r="C588" s="152"/>
      <c r="D588" s="153"/>
      <c r="E588" s="239"/>
      <c r="F588" s="153"/>
      <c r="G588" s="239"/>
      <c r="H588" s="153"/>
      <c r="I588" s="240"/>
      <c r="J588" s="153"/>
    </row>
    <row r="589" spans="1:10" ht="12.75" customHeight="1">
      <c r="A589" s="241" t="s">
        <v>151</v>
      </c>
      <c r="B589" s="152"/>
      <c r="C589" s="152"/>
      <c r="D589" s="153"/>
      <c r="E589" s="264"/>
      <c r="F589" s="153"/>
      <c r="G589" s="257"/>
      <c r="H589" s="153"/>
      <c r="I589" s="258"/>
      <c r="J589" s="153"/>
    </row>
    <row r="590" spans="1:10" ht="12.75" customHeight="1">
      <c r="A590" s="220" t="s">
        <v>152</v>
      </c>
      <c r="B590" s="152"/>
      <c r="C590" s="152"/>
      <c r="D590" s="153"/>
      <c r="E590" s="262"/>
      <c r="F590" s="153"/>
      <c r="G590" s="262"/>
      <c r="H590" s="153"/>
      <c r="I590" s="263"/>
      <c r="J590" s="153"/>
    </row>
    <row r="591" spans="1:10" ht="12.75" customHeight="1">
      <c r="A591" s="265"/>
      <c r="B591" s="152"/>
      <c r="C591" s="152"/>
      <c r="D591" s="153"/>
      <c r="E591" s="264"/>
      <c r="F591" s="153"/>
      <c r="G591" s="257"/>
      <c r="H591" s="153"/>
      <c r="I591" s="257"/>
      <c r="J591" s="153"/>
    </row>
    <row r="592" spans="1:10" ht="12.75" customHeight="1">
      <c r="A592" s="265"/>
      <c r="B592" s="152"/>
      <c r="C592" s="152"/>
      <c r="D592" s="153"/>
      <c r="E592" s="264"/>
      <c r="F592" s="153"/>
      <c r="G592" s="257"/>
      <c r="H592" s="153"/>
      <c r="I592" s="257"/>
      <c r="J592" s="153"/>
    </row>
    <row r="593" spans="1:10" ht="12.75" customHeight="1">
      <c r="A593" s="265"/>
      <c r="B593" s="152"/>
      <c r="C593" s="152"/>
      <c r="D593" s="153"/>
      <c r="E593" s="264"/>
      <c r="F593" s="153"/>
      <c r="G593" s="257"/>
      <c r="H593" s="153"/>
      <c r="I593" s="257"/>
      <c r="J593" s="153"/>
    </row>
    <row r="594" spans="1:10" ht="12.75" customHeight="1">
      <c r="A594" s="222" t="s">
        <v>153</v>
      </c>
      <c r="B594" s="152"/>
      <c r="C594" s="152"/>
      <c r="D594" s="153"/>
      <c r="E594" s="266">
        <f>SUM(E584:E593)</f>
        <v>0</v>
      </c>
      <c r="F594" s="153"/>
      <c r="G594" s="266">
        <f>SUM(G584:G593)</f>
        <v>0</v>
      </c>
      <c r="H594" s="153"/>
      <c r="I594" s="266">
        <f>SUM(I584:I593)</f>
        <v>0</v>
      </c>
      <c r="J594" s="153"/>
    </row>
    <row r="595" spans="1:10" ht="12.75" customHeight="1">
      <c r="A595" s="267" t="s">
        <v>154</v>
      </c>
      <c r="B595" s="163"/>
      <c r="C595" s="163"/>
      <c r="D595" s="163"/>
      <c r="E595" s="163"/>
      <c r="F595" s="163"/>
      <c r="G595" s="163"/>
      <c r="H595" s="163"/>
      <c r="I595" s="163"/>
      <c r="J595" s="164"/>
    </row>
    <row r="596" spans="1:10" ht="12.75" customHeight="1">
      <c r="A596" s="268" t="s">
        <v>155</v>
      </c>
      <c r="B596" s="171"/>
      <c r="C596" s="171"/>
      <c r="D596" s="171"/>
      <c r="E596" s="171"/>
      <c r="F596" s="171"/>
      <c r="G596" s="171"/>
      <c r="H596" s="171"/>
      <c r="I596" s="171"/>
      <c r="J596" s="172"/>
    </row>
    <row r="597" spans="1:10" ht="12.75" customHeight="1">
      <c r="A597" s="268" t="s">
        <v>156</v>
      </c>
      <c r="B597" s="171"/>
      <c r="C597" s="171"/>
      <c r="D597" s="171"/>
      <c r="E597" s="171"/>
      <c r="F597" s="171"/>
      <c r="G597" s="171"/>
      <c r="H597" s="171"/>
      <c r="I597" s="171"/>
      <c r="J597" s="172"/>
    </row>
    <row r="598" spans="1:10" ht="12.75" customHeight="1">
      <c r="A598" s="260" t="s">
        <v>157</v>
      </c>
      <c r="B598" s="149"/>
      <c r="C598" s="149"/>
      <c r="D598" s="149"/>
      <c r="E598" s="149"/>
      <c r="F598" s="149"/>
      <c r="G598" s="149"/>
      <c r="H598" s="149"/>
      <c r="I598" s="149"/>
      <c r="J598" s="150"/>
    </row>
    <row r="599" spans="1:10" ht="12.75" customHeight="1">
      <c r="A599" s="196"/>
      <c r="B599" s="197"/>
      <c r="C599" s="197"/>
      <c r="D599" s="197"/>
      <c r="E599" s="197"/>
      <c r="F599" s="197"/>
      <c r="G599" s="197"/>
      <c r="H599" s="197"/>
      <c r="I599" s="197"/>
      <c r="J599" s="198"/>
    </row>
    <row r="600" spans="1:10" ht="12.75" customHeight="1">
      <c r="A600" s="158"/>
      <c r="B600" s="156"/>
      <c r="C600" s="156"/>
      <c r="D600" s="156"/>
      <c r="E600" s="156"/>
      <c r="F600" s="156"/>
      <c r="G600" s="156"/>
      <c r="H600" s="156"/>
      <c r="I600" s="156"/>
      <c r="J600" s="157"/>
    </row>
    <row r="601" spans="1:10" ht="12.75" customHeight="1">
      <c r="A601" s="158"/>
      <c r="B601" s="156"/>
      <c r="C601" s="156"/>
      <c r="D601" s="156"/>
      <c r="E601" s="156"/>
      <c r="F601" s="156"/>
      <c r="G601" s="156"/>
      <c r="H601" s="156"/>
      <c r="I601" s="156"/>
      <c r="J601" s="157"/>
    </row>
    <row r="602" spans="1:10" ht="12.75" customHeight="1">
      <c r="A602" s="158"/>
      <c r="B602" s="156"/>
      <c r="C602" s="156"/>
      <c r="D602" s="156"/>
      <c r="E602" s="156"/>
      <c r="F602" s="156"/>
      <c r="G602" s="156"/>
      <c r="H602" s="156"/>
      <c r="I602" s="156"/>
      <c r="J602" s="157"/>
    </row>
    <row r="603" spans="1:10" ht="12.75" customHeight="1">
      <c r="A603" s="158"/>
      <c r="B603" s="156"/>
      <c r="C603" s="156"/>
      <c r="D603" s="156"/>
      <c r="E603" s="156"/>
      <c r="F603" s="156"/>
      <c r="G603" s="156"/>
      <c r="H603" s="156"/>
      <c r="I603" s="156"/>
      <c r="J603" s="157"/>
    </row>
    <row r="604" spans="1:10" ht="12.75" customHeight="1">
      <c r="A604" s="158"/>
      <c r="B604" s="156"/>
      <c r="C604" s="156"/>
      <c r="D604" s="156"/>
      <c r="E604" s="156"/>
      <c r="F604" s="156"/>
      <c r="G604" s="156"/>
      <c r="H604" s="156"/>
      <c r="I604" s="156"/>
      <c r="J604" s="157"/>
    </row>
    <row r="605" spans="1:10" ht="12.75" customHeight="1">
      <c r="A605" s="158"/>
      <c r="B605" s="156"/>
      <c r="C605" s="156"/>
      <c r="D605" s="156"/>
      <c r="E605" s="156"/>
      <c r="F605" s="156"/>
      <c r="G605" s="156"/>
      <c r="H605" s="156"/>
      <c r="I605" s="156"/>
      <c r="J605" s="157"/>
    </row>
    <row r="606" spans="1:10" ht="12.75" customHeight="1">
      <c r="A606" s="158"/>
      <c r="B606" s="156"/>
      <c r="C606" s="156"/>
      <c r="D606" s="156"/>
      <c r="E606" s="156"/>
      <c r="F606" s="156"/>
      <c r="G606" s="156"/>
      <c r="H606" s="156"/>
      <c r="I606" s="156"/>
      <c r="J606" s="157"/>
    </row>
    <row r="607" spans="1:10" ht="12.75" customHeight="1">
      <c r="A607" s="158"/>
      <c r="B607" s="156"/>
      <c r="C607" s="156"/>
      <c r="D607" s="156"/>
      <c r="E607" s="156"/>
      <c r="F607" s="156"/>
      <c r="G607" s="156"/>
      <c r="H607" s="156"/>
      <c r="I607" s="156"/>
      <c r="J607" s="157"/>
    </row>
    <row r="608" spans="1:10" ht="12.75" customHeight="1">
      <c r="A608" s="158"/>
      <c r="B608" s="156"/>
      <c r="C608" s="156"/>
      <c r="D608" s="156"/>
      <c r="E608" s="156"/>
      <c r="F608" s="156"/>
      <c r="G608" s="156"/>
      <c r="H608" s="156"/>
      <c r="I608" s="156"/>
      <c r="J608" s="157"/>
    </row>
    <row r="609" spans="1:10" ht="12.75" customHeight="1">
      <c r="A609" s="158"/>
      <c r="B609" s="156"/>
      <c r="C609" s="156"/>
      <c r="D609" s="156"/>
      <c r="E609" s="156"/>
      <c r="F609" s="156"/>
      <c r="G609" s="156"/>
      <c r="H609" s="156"/>
      <c r="I609" s="156"/>
      <c r="J609" s="157"/>
    </row>
    <row r="610" spans="1:10" ht="12.75" customHeight="1">
      <c r="A610" s="158"/>
      <c r="B610" s="156"/>
      <c r="C610" s="156"/>
      <c r="D610" s="156"/>
      <c r="E610" s="156"/>
      <c r="F610" s="156"/>
      <c r="G610" s="156"/>
      <c r="H610" s="156"/>
      <c r="I610" s="156"/>
      <c r="J610" s="157"/>
    </row>
    <row r="611" spans="1:10" ht="12.75" customHeight="1">
      <c r="A611" s="158"/>
      <c r="B611" s="156"/>
      <c r="C611" s="156"/>
      <c r="D611" s="156"/>
      <c r="E611" s="156"/>
      <c r="F611" s="156"/>
      <c r="G611" s="156"/>
      <c r="H611" s="156"/>
      <c r="I611" s="156"/>
      <c r="J611" s="157"/>
    </row>
    <row r="612" spans="1:10" ht="12.75" customHeight="1">
      <c r="A612" s="158"/>
      <c r="B612" s="156"/>
      <c r="C612" s="156"/>
      <c r="D612" s="156"/>
      <c r="E612" s="156"/>
      <c r="F612" s="156"/>
      <c r="G612" s="156"/>
      <c r="H612" s="156"/>
      <c r="I612" s="156"/>
      <c r="J612" s="157"/>
    </row>
    <row r="613" spans="1:10" ht="12.75" customHeight="1">
      <c r="A613" s="158"/>
      <c r="B613" s="156"/>
      <c r="C613" s="156"/>
      <c r="D613" s="156"/>
      <c r="E613" s="156"/>
      <c r="F613" s="156"/>
      <c r="G613" s="156"/>
      <c r="H613" s="156"/>
      <c r="I613" s="156"/>
      <c r="J613" s="157"/>
    </row>
    <row r="614" spans="1:10" ht="12.75" customHeight="1">
      <c r="A614" s="158"/>
      <c r="B614" s="156"/>
      <c r="C614" s="156"/>
      <c r="D614" s="156"/>
      <c r="E614" s="156"/>
      <c r="F614" s="156"/>
      <c r="G614" s="156"/>
      <c r="H614" s="156"/>
      <c r="I614" s="156"/>
      <c r="J614" s="157"/>
    </row>
    <row r="615" spans="1:10" ht="12.75" customHeight="1">
      <c r="A615" s="158"/>
      <c r="B615" s="156"/>
      <c r="C615" s="156"/>
      <c r="D615" s="156"/>
      <c r="E615" s="156"/>
      <c r="F615" s="156"/>
      <c r="G615" s="156"/>
      <c r="H615" s="156"/>
      <c r="I615" s="156"/>
      <c r="J615" s="157"/>
    </row>
    <row r="616" spans="1:10" ht="12.75" customHeight="1">
      <c r="A616" s="158"/>
      <c r="B616" s="156"/>
      <c r="C616" s="156"/>
      <c r="D616" s="156"/>
      <c r="E616" s="156"/>
      <c r="F616" s="156"/>
      <c r="G616" s="156"/>
      <c r="H616" s="156"/>
      <c r="I616" s="156"/>
      <c r="J616" s="157"/>
    </row>
    <row r="617" spans="1:10" ht="12.75" customHeight="1">
      <c r="A617" s="158"/>
      <c r="B617" s="156"/>
      <c r="C617" s="156"/>
      <c r="D617" s="156"/>
      <c r="E617" s="156"/>
      <c r="F617" s="156"/>
      <c r="G617" s="156"/>
      <c r="H617" s="156"/>
      <c r="I617" s="156"/>
      <c r="J617" s="157"/>
    </row>
    <row r="618" spans="1:10" ht="12.75" customHeight="1">
      <c r="A618" s="158"/>
      <c r="B618" s="156"/>
      <c r="C618" s="156"/>
      <c r="D618" s="156"/>
      <c r="E618" s="156"/>
      <c r="F618" s="156"/>
      <c r="G618" s="156"/>
      <c r="H618" s="156"/>
      <c r="I618" s="156"/>
      <c r="J618" s="157"/>
    </row>
    <row r="619" spans="1:10" ht="12.75" customHeight="1">
      <c r="A619" s="158"/>
      <c r="B619" s="156"/>
      <c r="C619" s="156"/>
      <c r="D619" s="156"/>
      <c r="E619" s="156"/>
      <c r="F619" s="156"/>
      <c r="G619" s="156"/>
      <c r="H619" s="156"/>
      <c r="I619" s="156"/>
      <c r="J619" s="157"/>
    </row>
    <row r="620" spans="1:10" ht="12.75" customHeight="1">
      <c r="A620" s="158"/>
      <c r="B620" s="156"/>
      <c r="C620" s="156"/>
      <c r="D620" s="156"/>
      <c r="E620" s="156"/>
      <c r="F620" s="156"/>
      <c r="G620" s="156"/>
      <c r="H620" s="156"/>
      <c r="I620" s="156"/>
      <c r="J620" s="157"/>
    </row>
    <row r="621" spans="1:10" ht="12.75" customHeight="1">
      <c r="A621" s="158"/>
      <c r="B621" s="156"/>
      <c r="C621" s="156"/>
      <c r="D621" s="156"/>
      <c r="E621" s="156"/>
      <c r="F621" s="156"/>
      <c r="G621" s="156"/>
      <c r="H621" s="156"/>
      <c r="I621" s="156"/>
      <c r="J621" s="157"/>
    </row>
    <row r="622" spans="1:10" ht="12.75" customHeight="1">
      <c r="A622" s="158"/>
      <c r="B622" s="156"/>
      <c r="C622" s="156"/>
      <c r="D622" s="156"/>
      <c r="E622" s="156"/>
      <c r="F622" s="156"/>
      <c r="G622" s="156"/>
      <c r="H622" s="156"/>
      <c r="I622" s="156"/>
      <c r="J622" s="157"/>
    </row>
    <row r="623" spans="1:10" ht="12.75" customHeight="1">
      <c r="A623" s="158"/>
      <c r="B623" s="156"/>
      <c r="C623" s="156"/>
      <c r="D623" s="156"/>
      <c r="E623" s="156"/>
      <c r="F623" s="156"/>
      <c r="G623" s="156"/>
      <c r="H623" s="156"/>
      <c r="I623" s="156"/>
      <c r="J623" s="157"/>
    </row>
    <row r="624" spans="1:10" ht="12.75" customHeight="1">
      <c r="A624" s="158"/>
      <c r="B624" s="156"/>
      <c r="C624" s="156"/>
      <c r="D624" s="156"/>
      <c r="E624" s="156"/>
      <c r="F624" s="156"/>
      <c r="G624" s="156"/>
      <c r="H624" s="156"/>
      <c r="I624" s="156"/>
      <c r="J624" s="157"/>
    </row>
    <row r="625" spans="1:10" ht="12.75" customHeight="1">
      <c r="A625" s="158"/>
      <c r="B625" s="156"/>
      <c r="C625" s="156"/>
      <c r="D625" s="156"/>
      <c r="E625" s="156"/>
      <c r="F625" s="156"/>
      <c r="G625" s="156"/>
      <c r="H625" s="156"/>
      <c r="I625" s="156"/>
      <c r="J625" s="157"/>
    </row>
    <row r="626" spans="1:10" ht="12.75" customHeight="1">
      <c r="A626" s="158"/>
      <c r="B626" s="156"/>
      <c r="C626" s="156"/>
      <c r="D626" s="156"/>
      <c r="E626" s="156"/>
      <c r="F626" s="156"/>
      <c r="G626" s="156"/>
      <c r="H626" s="156"/>
      <c r="I626" s="156"/>
      <c r="J626" s="157"/>
    </row>
    <row r="627" spans="1:10" ht="12.75" customHeight="1">
      <c r="A627" s="158"/>
      <c r="B627" s="156"/>
      <c r="C627" s="156"/>
      <c r="D627" s="156"/>
      <c r="E627" s="156"/>
      <c r="F627" s="156"/>
      <c r="G627" s="156"/>
      <c r="H627" s="156"/>
      <c r="I627" s="156"/>
      <c r="J627" s="157"/>
    </row>
    <row r="628" spans="1:10" ht="12.75" customHeight="1">
      <c r="A628" s="158"/>
      <c r="B628" s="156"/>
      <c r="C628" s="156"/>
      <c r="D628" s="156"/>
      <c r="E628" s="156"/>
      <c r="F628" s="156"/>
      <c r="G628" s="156"/>
      <c r="H628" s="156"/>
      <c r="I628" s="156"/>
      <c r="J628" s="157"/>
    </row>
    <row r="629" spans="1:10" ht="12.75" customHeight="1">
      <c r="A629" s="158"/>
      <c r="B629" s="156"/>
      <c r="C629" s="156"/>
      <c r="D629" s="156"/>
      <c r="E629" s="156"/>
      <c r="F629" s="156"/>
      <c r="G629" s="156"/>
      <c r="H629" s="156"/>
      <c r="I629" s="156"/>
      <c r="J629" s="157"/>
    </row>
    <row r="630" spans="1:10" ht="12.75" customHeight="1">
      <c r="A630" s="158"/>
      <c r="B630" s="156"/>
      <c r="C630" s="156"/>
      <c r="D630" s="156"/>
      <c r="E630" s="156"/>
      <c r="F630" s="156"/>
      <c r="G630" s="156"/>
      <c r="H630" s="156"/>
      <c r="I630" s="156"/>
      <c r="J630" s="157"/>
    </row>
    <row r="631" spans="1:10" ht="12.75" customHeight="1">
      <c r="A631" s="158"/>
      <c r="B631" s="156"/>
      <c r="C631" s="156"/>
      <c r="D631" s="156"/>
      <c r="E631" s="156"/>
      <c r="F631" s="156"/>
      <c r="G631" s="156"/>
      <c r="H631" s="156"/>
      <c r="I631" s="156"/>
      <c r="J631" s="157"/>
    </row>
    <row r="632" spans="1:10" ht="12.75" customHeight="1">
      <c r="A632" s="158"/>
      <c r="B632" s="156"/>
      <c r="C632" s="156"/>
      <c r="D632" s="156"/>
      <c r="E632" s="156"/>
      <c r="F632" s="156"/>
      <c r="G632" s="156"/>
      <c r="H632" s="156"/>
      <c r="I632" s="156"/>
      <c r="J632" s="157"/>
    </row>
    <row r="633" spans="1:10" ht="12.75" customHeight="1">
      <c r="A633" s="199"/>
      <c r="B633" s="167"/>
      <c r="C633" s="167"/>
      <c r="D633" s="167"/>
      <c r="E633" s="167"/>
      <c r="F633" s="167"/>
      <c r="G633" s="167"/>
      <c r="H633" s="167"/>
      <c r="I633" s="167"/>
      <c r="J633" s="168"/>
    </row>
    <row r="634" spans="1:10" ht="12.75" customHeight="1"/>
    <row r="635" spans="1:10" ht="12.75" customHeight="1">
      <c r="A635" s="207" t="s">
        <v>65</v>
      </c>
      <c r="B635" s="152"/>
      <c r="C635" s="152"/>
      <c r="D635" s="152"/>
      <c r="E635" s="152"/>
      <c r="F635" s="152"/>
      <c r="G635" s="181"/>
      <c r="H635" s="208" t="str">
        <f>'CONTACT INFORMATION'!$A$24</f>
        <v>Humboldt</v>
      </c>
      <c r="I635" s="152"/>
      <c r="J635" s="153"/>
    </row>
    <row r="636" spans="1:10" ht="7.5" customHeight="1">
      <c r="A636" s="107"/>
      <c r="B636" s="107"/>
      <c r="C636" s="107"/>
      <c r="D636" s="107"/>
      <c r="E636" s="107"/>
      <c r="F636" s="107"/>
      <c r="G636" s="107"/>
      <c r="H636" s="107"/>
      <c r="I636" s="107"/>
      <c r="J636" s="107"/>
    </row>
    <row r="637" spans="1:10" ht="12.75" customHeight="1">
      <c r="A637" s="251" t="s">
        <v>175</v>
      </c>
      <c r="B637" s="152"/>
      <c r="C637" s="152"/>
      <c r="D637" s="152"/>
      <c r="E637" s="152"/>
      <c r="F637" s="152"/>
      <c r="G637" s="152"/>
      <c r="H637" s="152"/>
      <c r="I637" s="152"/>
      <c r="J637" s="153"/>
    </row>
    <row r="638" spans="1:10" ht="12.75" customHeight="1">
      <c r="A638" s="252" t="s">
        <v>140</v>
      </c>
      <c r="B638" s="163"/>
      <c r="C638" s="163"/>
      <c r="D638" s="164"/>
      <c r="E638" s="269"/>
      <c r="F638" s="197"/>
      <c r="G638" s="197"/>
      <c r="H638" s="197"/>
      <c r="I638" s="197"/>
      <c r="J638" s="198"/>
    </row>
    <row r="639" spans="1:10" ht="12.75" customHeight="1">
      <c r="A639" s="254" t="s">
        <v>161</v>
      </c>
      <c r="B639" s="149"/>
      <c r="C639" s="149"/>
      <c r="D639" s="150"/>
      <c r="E639" s="199"/>
      <c r="F639" s="167"/>
      <c r="G639" s="167"/>
      <c r="H639" s="167"/>
      <c r="I639" s="167"/>
      <c r="J639" s="168"/>
    </row>
    <row r="640" spans="1:10" ht="12.75" customHeight="1">
      <c r="A640" s="259" t="s">
        <v>176</v>
      </c>
      <c r="B640" s="152"/>
      <c r="C640" s="152"/>
      <c r="D640" s="153"/>
      <c r="E640" s="221"/>
      <c r="F640" s="152"/>
      <c r="G640" s="152"/>
      <c r="H640" s="152"/>
      <c r="I640" s="152"/>
      <c r="J640" s="153"/>
    </row>
    <row r="641" spans="1:10" ht="27" customHeight="1">
      <c r="A641" s="108"/>
      <c r="B641" s="104"/>
      <c r="C641" s="104"/>
      <c r="D641" s="104"/>
      <c r="E641" s="255" t="s">
        <v>143</v>
      </c>
      <c r="F641" s="167"/>
      <c r="G641" s="255" t="s">
        <v>144</v>
      </c>
      <c r="H641" s="167"/>
      <c r="I641" s="256" t="s">
        <v>145</v>
      </c>
      <c r="J641" s="168"/>
    </row>
    <row r="642" spans="1:10" ht="12.75" customHeight="1">
      <c r="A642" s="220" t="s">
        <v>146</v>
      </c>
      <c r="B642" s="152"/>
      <c r="C642" s="152"/>
      <c r="D642" s="153"/>
      <c r="E642" s="239"/>
      <c r="F642" s="153"/>
      <c r="G642" s="239"/>
      <c r="H642" s="153"/>
      <c r="I642" s="240"/>
      <c r="J642" s="153"/>
    </row>
    <row r="643" spans="1:10" ht="12.75" customHeight="1">
      <c r="A643" s="241" t="s">
        <v>147</v>
      </c>
      <c r="B643" s="152"/>
      <c r="C643" s="152"/>
      <c r="D643" s="153"/>
      <c r="E643" s="264"/>
      <c r="F643" s="153"/>
      <c r="G643" s="257"/>
      <c r="H643" s="153"/>
      <c r="I643" s="258"/>
      <c r="J643" s="153"/>
    </row>
    <row r="644" spans="1:10" ht="12.75" customHeight="1">
      <c r="A644" s="220" t="s">
        <v>148</v>
      </c>
      <c r="B644" s="152"/>
      <c r="C644" s="152"/>
      <c r="D644" s="153"/>
      <c r="E644" s="239"/>
      <c r="F644" s="153"/>
      <c r="G644" s="239"/>
      <c r="H644" s="153"/>
      <c r="I644" s="240"/>
      <c r="J644" s="153"/>
    </row>
    <row r="645" spans="1:10" ht="12.75" customHeight="1">
      <c r="A645" s="241" t="s">
        <v>149</v>
      </c>
      <c r="B645" s="152"/>
      <c r="C645" s="152"/>
      <c r="D645" s="153"/>
      <c r="E645" s="264"/>
      <c r="F645" s="153"/>
      <c r="G645" s="257"/>
      <c r="H645" s="153"/>
      <c r="I645" s="258"/>
      <c r="J645" s="153"/>
    </row>
    <row r="646" spans="1:10" ht="12.75" customHeight="1">
      <c r="A646" s="220" t="s">
        <v>150</v>
      </c>
      <c r="B646" s="152"/>
      <c r="C646" s="152"/>
      <c r="D646" s="153"/>
      <c r="E646" s="239"/>
      <c r="F646" s="153"/>
      <c r="G646" s="239"/>
      <c r="H646" s="153"/>
      <c r="I646" s="240"/>
      <c r="J646" s="153"/>
    </row>
    <row r="647" spans="1:10" ht="12.75" customHeight="1">
      <c r="A647" s="241" t="s">
        <v>151</v>
      </c>
      <c r="B647" s="152"/>
      <c r="C647" s="152"/>
      <c r="D647" s="153"/>
      <c r="E647" s="264"/>
      <c r="F647" s="153"/>
      <c r="G647" s="257"/>
      <c r="H647" s="153"/>
      <c r="I647" s="258"/>
      <c r="J647" s="153"/>
    </row>
    <row r="648" spans="1:10" ht="12.75" customHeight="1">
      <c r="A648" s="220" t="s">
        <v>152</v>
      </c>
      <c r="B648" s="152"/>
      <c r="C648" s="152"/>
      <c r="D648" s="153"/>
      <c r="E648" s="262"/>
      <c r="F648" s="153"/>
      <c r="G648" s="262"/>
      <c r="H648" s="153"/>
      <c r="I648" s="263"/>
      <c r="J648" s="153"/>
    </row>
    <row r="649" spans="1:10" ht="12.75" customHeight="1">
      <c r="A649" s="265"/>
      <c r="B649" s="152"/>
      <c r="C649" s="152"/>
      <c r="D649" s="153"/>
      <c r="E649" s="264"/>
      <c r="F649" s="153"/>
      <c r="G649" s="257"/>
      <c r="H649" s="153"/>
      <c r="I649" s="257"/>
      <c r="J649" s="153"/>
    </row>
    <row r="650" spans="1:10" ht="12.75" customHeight="1">
      <c r="A650" s="265"/>
      <c r="B650" s="152"/>
      <c r="C650" s="152"/>
      <c r="D650" s="153"/>
      <c r="E650" s="264"/>
      <c r="F650" s="153"/>
      <c r="G650" s="257"/>
      <c r="H650" s="153"/>
      <c r="I650" s="257"/>
      <c r="J650" s="153"/>
    </row>
    <row r="651" spans="1:10" ht="12.75" customHeight="1">
      <c r="A651" s="265"/>
      <c r="B651" s="152"/>
      <c r="C651" s="152"/>
      <c r="D651" s="153"/>
      <c r="E651" s="264"/>
      <c r="F651" s="153"/>
      <c r="G651" s="257"/>
      <c r="H651" s="153"/>
      <c r="I651" s="257"/>
      <c r="J651" s="153"/>
    </row>
    <row r="652" spans="1:10" ht="12.75" customHeight="1">
      <c r="A652" s="222" t="s">
        <v>153</v>
      </c>
      <c r="B652" s="152"/>
      <c r="C652" s="152"/>
      <c r="D652" s="153"/>
      <c r="E652" s="266">
        <f>SUM(E642:E651)</f>
        <v>0</v>
      </c>
      <c r="F652" s="153"/>
      <c r="G652" s="266">
        <f>SUM(G642:G651)</f>
        <v>0</v>
      </c>
      <c r="H652" s="153"/>
      <c r="I652" s="266">
        <f>SUM(I642:I651)</f>
        <v>0</v>
      </c>
      <c r="J652" s="153"/>
    </row>
    <row r="653" spans="1:10" ht="12.75" customHeight="1">
      <c r="A653" s="267" t="s">
        <v>154</v>
      </c>
      <c r="B653" s="163"/>
      <c r="C653" s="163"/>
      <c r="D653" s="163"/>
      <c r="E653" s="163"/>
      <c r="F653" s="163"/>
      <c r="G653" s="163"/>
      <c r="H653" s="163"/>
      <c r="I653" s="163"/>
      <c r="J653" s="164"/>
    </row>
    <row r="654" spans="1:10" ht="12.75" customHeight="1">
      <c r="A654" s="268" t="s">
        <v>155</v>
      </c>
      <c r="B654" s="171"/>
      <c r="C654" s="171"/>
      <c r="D654" s="171"/>
      <c r="E654" s="171"/>
      <c r="F654" s="171"/>
      <c r="G654" s="171"/>
      <c r="H654" s="171"/>
      <c r="I654" s="171"/>
      <c r="J654" s="172"/>
    </row>
    <row r="655" spans="1:10" ht="12.75" customHeight="1">
      <c r="A655" s="268" t="s">
        <v>156</v>
      </c>
      <c r="B655" s="171"/>
      <c r="C655" s="171"/>
      <c r="D655" s="171"/>
      <c r="E655" s="171"/>
      <c r="F655" s="171"/>
      <c r="G655" s="171"/>
      <c r="H655" s="171"/>
      <c r="I655" s="171"/>
      <c r="J655" s="172"/>
    </row>
    <row r="656" spans="1:10" ht="12.75" customHeight="1">
      <c r="A656" s="260" t="s">
        <v>157</v>
      </c>
      <c r="B656" s="149"/>
      <c r="C656" s="149"/>
      <c r="D656" s="149"/>
      <c r="E656" s="149"/>
      <c r="F656" s="149"/>
      <c r="G656" s="149"/>
      <c r="H656" s="149"/>
      <c r="I656" s="149"/>
      <c r="J656" s="150"/>
    </row>
    <row r="657" spans="1:10" ht="12.75" customHeight="1">
      <c r="A657" s="196"/>
      <c r="B657" s="197"/>
      <c r="C657" s="197"/>
      <c r="D657" s="197"/>
      <c r="E657" s="197"/>
      <c r="F657" s="197"/>
      <c r="G657" s="197"/>
      <c r="H657" s="197"/>
      <c r="I657" s="197"/>
      <c r="J657" s="198"/>
    </row>
    <row r="658" spans="1:10" ht="12.75" customHeight="1">
      <c r="A658" s="158"/>
      <c r="B658" s="156"/>
      <c r="C658" s="156"/>
      <c r="D658" s="156"/>
      <c r="E658" s="156"/>
      <c r="F658" s="156"/>
      <c r="G658" s="156"/>
      <c r="H658" s="156"/>
      <c r="I658" s="156"/>
      <c r="J658" s="157"/>
    </row>
    <row r="659" spans="1:10" ht="12.75" customHeight="1">
      <c r="A659" s="158"/>
      <c r="B659" s="156"/>
      <c r="C659" s="156"/>
      <c r="D659" s="156"/>
      <c r="E659" s="156"/>
      <c r="F659" s="156"/>
      <c r="G659" s="156"/>
      <c r="H659" s="156"/>
      <c r="I659" s="156"/>
      <c r="J659" s="157"/>
    </row>
    <row r="660" spans="1:10" ht="12.75" customHeight="1">
      <c r="A660" s="158"/>
      <c r="B660" s="156"/>
      <c r="C660" s="156"/>
      <c r="D660" s="156"/>
      <c r="E660" s="156"/>
      <c r="F660" s="156"/>
      <c r="G660" s="156"/>
      <c r="H660" s="156"/>
      <c r="I660" s="156"/>
      <c r="J660" s="157"/>
    </row>
    <row r="661" spans="1:10" ht="12.75" customHeight="1">
      <c r="A661" s="158"/>
      <c r="B661" s="156"/>
      <c r="C661" s="156"/>
      <c r="D661" s="156"/>
      <c r="E661" s="156"/>
      <c r="F661" s="156"/>
      <c r="G661" s="156"/>
      <c r="H661" s="156"/>
      <c r="I661" s="156"/>
      <c r="J661" s="157"/>
    </row>
    <row r="662" spans="1:10" ht="12.75" customHeight="1">
      <c r="A662" s="158"/>
      <c r="B662" s="156"/>
      <c r="C662" s="156"/>
      <c r="D662" s="156"/>
      <c r="E662" s="156"/>
      <c r="F662" s="156"/>
      <c r="G662" s="156"/>
      <c r="H662" s="156"/>
      <c r="I662" s="156"/>
      <c r="J662" s="157"/>
    </row>
    <row r="663" spans="1:10" ht="12.75" customHeight="1">
      <c r="A663" s="158"/>
      <c r="B663" s="156"/>
      <c r="C663" s="156"/>
      <c r="D663" s="156"/>
      <c r="E663" s="156"/>
      <c r="F663" s="156"/>
      <c r="G663" s="156"/>
      <c r="H663" s="156"/>
      <c r="I663" s="156"/>
      <c r="J663" s="157"/>
    </row>
    <row r="664" spans="1:10" ht="12.75" customHeight="1">
      <c r="A664" s="158"/>
      <c r="B664" s="156"/>
      <c r="C664" s="156"/>
      <c r="D664" s="156"/>
      <c r="E664" s="156"/>
      <c r="F664" s="156"/>
      <c r="G664" s="156"/>
      <c r="H664" s="156"/>
      <c r="I664" s="156"/>
      <c r="J664" s="157"/>
    </row>
    <row r="665" spans="1:10" ht="12.75" customHeight="1">
      <c r="A665" s="158"/>
      <c r="B665" s="156"/>
      <c r="C665" s="156"/>
      <c r="D665" s="156"/>
      <c r="E665" s="156"/>
      <c r="F665" s="156"/>
      <c r="G665" s="156"/>
      <c r="H665" s="156"/>
      <c r="I665" s="156"/>
      <c r="J665" s="157"/>
    </row>
    <row r="666" spans="1:10" ht="12.75" customHeight="1">
      <c r="A666" s="158"/>
      <c r="B666" s="156"/>
      <c r="C666" s="156"/>
      <c r="D666" s="156"/>
      <c r="E666" s="156"/>
      <c r="F666" s="156"/>
      <c r="G666" s="156"/>
      <c r="H666" s="156"/>
      <c r="I666" s="156"/>
      <c r="J666" s="157"/>
    </row>
    <row r="667" spans="1:10" ht="12.75" customHeight="1">
      <c r="A667" s="158"/>
      <c r="B667" s="156"/>
      <c r="C667" s="156"/>
      <c r="D667" s="156"/>
      <c r="E667" s="156"/>
      <c r="F667" s="156"/>
      <c r="G667" s="156"/>
      <c r="H667" s="156"/>
      <c r="I667" s="156"/>
      <c r="J667" s="157"/>
    </row>
    <row r="668" spans="1:10" ht="12.75" customHeight="1">
      <c r="A668" s="158"/>
      <c r="B668" s="156"/>
      <c r="C668" s="156"/>
      <c r="D668" s="156"/>
      <c r="E668" s="156"/>
      <c r="F668" s="156"/>
      <c r="G668" s="156"/>
      <c r="H668" s="156"/>
      <c r="I668" s="156"/>
      <c r="J668" s="157"/>
    </row>
    <row r="669" spans="1:10" ht="12.75" customHeight="1">
      <c r="A669" s="158"/>
      <c r="B669" s="156"/>
      <c r="C669" s="156"/>
      <c r="D669" s="156"/>
      <c r="E669" s="156"/>
      <c r="F669" s="156"/>
      <c r="G669" s="156"/>
      <c r="H669" s="156"/>
      <c r="I669" s="156"/>
      <c r="J669" s="157"/>
    </row>
    <row r="670" spans="1:10" ht="12.75" customHeight="1">
      <c r="A670" s="158"/>
      <c r="B670" s="156"/>
      <c r="C670" s="156"/>
      <c r="D670" s="156"/>
      <c r="E670" s="156"/>
      <c r="F670" s="156"/>
      <c r="G670" s="156"/>
      <c r="H670" s="156"/>
      <c r="I670" s="156"/>
      <c r="J670" s="157"/>
    </row>
    <row r="671" spans="1:10" ht="12.75" customHeight="1">
      <c r="A671" s="158"/>
      <c r="B671" s="156"/>
      <c r="C671" s="156"/>
      <c r="D671" s="156"/>
      <c r="E671" s="156"/>
      <c r="F671" s="156"/>
      <c r="G671" s="156"/>
      <c r="H671" s="156"/>
      <c r="I671" s="156"/>
      <c r="J671" s="157"/>
    </row>
    <row r="672" spans="1:10" ht="12.75" customHeight="1">
      <c r="A672" s="158"/>
      <c r="B672" s="156"/>
      <c r="C672" s="156"/>
      <c r="D672" s="156"/>
      <c r="E672" s="156"/>
      <c r="F672" s="156"/>
      <c r="G672" s="156"/>
      <c r="H672" s="156"/>
      <c r="I672" s="156"/>
      <c r="J672" s="157"/>
    </row>
    <row r="673" spans="1:10" ht="12.75" customHeight="1">
      <c r="A673" s="158"/>
      <c r="B673" s="156"/>
      <c r="C673" s="156"/>
      <c r="D673" s="156"/>
      <c r="E673" s="156"/>
      <c r="F673" s="156"/>
      <c r="G673" s="156"/>
      <c r="H673" s="156"/>
      <c r="I673" s="156"/>
      <c r="J673" s="157"/>
    </row>
    <row r="674" spans="1:10" ht="12.75" customHeight="1">
      <c r="A674" s="158"/>
      <c r="B674" s="156"/>
      <c r="C674" s="156"/>
      <c r="D674" s="156"/>
      <c r="E674" s="156"/>
      <c r="F674" s="156"/>
      <c r="G674" s="156"/>
      <c r="H674" s="156"/>
      <c r="I674" s="156"/>
      <c r="J674" s="157"/>
    </row>
    <row r="675" spans="1:10" ht="12.75" customHeight="1">
      <c r="A675" s="158"/>
      <c r="B675" s="156"/>
      <c r="C675" s="156"/>
      <c r="D675" s="156"/>
      <c r="E675" s="156"/>
      <c r="F675" s="156"/>
      <c r="G675" s="156"/>
      <c r="H675" s="156"/>
      <c r="I675" s="156"/>
      <c r="J675" s="157"/>
    </row>
    <row r="676" spans="1:10" ht="12.75" customHeight="1">
      <c r="A676" s="158"/>
      <c r="B676" s="156"/>
      <c r="C676" s="156"/>
      <c r="D676" s="156"/>
      <c r="E676" s="156"/>
      <c r="F676" s="156"/>
      <c r="G676" s="156"/>
      <c r="H676" s="156"/>
      <c r="I676" s="156"/>
      <c r="J676" s="157"/>
    </row>
    <row r="677" spans="1:10" ht="12.75" customHeight="1">
      <c r="A677" s="158"/>
      <c r="B677" s="156"/>
      <c r="C677" s="156"/>
      <c r="D677" s="156"/>
      <c r="E677" s="156"/>
      <c r="F677" s="156"/>
      <c r="G677" s="156"/>
      <c r="H677" s="156"/>
      <c r="I677" s="156"/>
      <c r="J677" s="157"/>
    </row>
    <row r="678" spans="1:10" ht="12.75" customHeight="1">
      <c r="A678" s="158"/>
      <c r="B678" s="156"/>
      <c r="C678" s="156"/>
      <c r="D678" s="156"/>
      <c r="E678" s="156"/>
      <c r="F678" s="156"/>
      <c r="G678" s="156"/>
      <c r="H678" s="156"/>
      <c r="I678" s="156"/>
      <c r="J678" s="157"/>
    </row>
    <row r="679" spans="1:10" ht="12.75" customHeight="1">
      <c r="A679" s="158"/>
      <c r="B679" s="156"/>
      <c r="C679" s="156"/>
      <c r="D679" s="156"/>
      <c r="E679" s="156"/>
      <c r="F679" s="156"/>
      <c r="G679" s="156"/>
      <c r="H679" s="156"/>
      <c r="I679" s="156"/>
      <c r="J679" s="157"/>
    </row>
    <row r="680" spans="1:10" ht="12.75" customHeight="1">
      <c r="A680" s="158"/>
      <c r="B680" s="156"/>
      <c r="C680" s="156"/>
      <c r="D680" s="156"/>
      <c r="E680" s="156"/>
      <c r="F680" s="156"/>
      <c r="G680" s="156"/>
      <c r="H680" s="156"/>
      <c r="I680" s="156"/>
      <c r="J680" s="157"/>
    </row>
    <row r="681" spans="1:10" ht="12.75" customHeight="1">
      <c r="A681" s="158"/>
      <c r="B681" s="156"/>
      <c r="C681" s="156"/>
      <c r="D681" s="156"/>
      <c r="E681" s="156"/>
      <c r="F681" s="156"/>
      <c r="G681" s="156"/>
      <c r="H681" s="156"/>
      <c r="I681" s="156"/>
      <c r="J681" s="157"/>
    </row>
    <row r="682" spans="1:10" ht="12.75" customHeight="1">
      <c r="A682" s="158"/>
      <c r="B682" s="156"/>
      <c r="C682" s="156"/>
      <c r="D682" s="156"/>
      <c r="E682" s="156"/>
      <c r="F682" s="156"/>
      <c r="G682" s="156"/>
      <c r="H682" s="156"/>
      <c r="I682" s="156"/>
      <c r="J682" s="157"/>
    </row>
    <row r="683" spans="1:10" ht="12.75" customHeight="1">
      <c r="A683" s="158"/>
      <c r="B683" s="156"/>
      <c r="C683" s="156"/>
      <c r="D683" s="156"/>
      <c r="E683" s="156"/>
      <c r="F683" s="156"/>
      <c r="G683" s="156"/>
      <c r="H683" s="156"/>
      <c r="I683" s="156"/>
      <c r="J683" s="157"/>
    </row>
    <row r="684" spans="1:10" ht="12.75" customHeight="1">
      <c r="A684" s="158"/>
      <c r="B684" s="156"/>
      <c r="C684" s="156"/>
      <c r="D684" s="156"/>
      <c r="E684" s="156"/>
      <c r="F684" s="156"/>
      <c r="G684" s="156"/>
      <c r="H684" s="156"/>
      <c r="I684" s="156"/>
      <c r="J684" s="157"/>
    </row>
    <row r="685" spans="1:10" ht="12.75" customHeight="1">
      <c r="A685" s="158"/>
      <c r="B685" s="156"/>
      <c r="C685" s="156"/>
      <c r="D685" s="156"/>
      <c r="E685" s="156"/>
      <c r="F685" s="156"/>
      <c r="G685" s="156"/>
      <c r="H685" s="156"/>
      <c r="I685" s="156"/>
      <c r="J685" s="157"/>
    </row>
    <row r="686" spans="1:10" ht="12.75" customHeight="1">
      <c r="A686" s="158"/>
      <c r="B686" s="156"/>
      <c r="C686" s="156"/>
      <c r="D686" s="156"/>
      <c r="E686" s="156"/>
      <c r="F686" s="156"/>
      <c r="G686" s="156"/>
      <c r="H686" s="156"/>
      <c r="I686" s="156"/>
      <c r="J686" s="157"/>
    </row>
    <row r="687" spans="1:10" ht="12.75" customHeight="1">
      <c r="A687" s="158"/>
      <c r="B687" s="156"/>
      <c r="C687" s="156"/>
      <c r="D687" s="156"/>
      <c r="E687" s="156"/>
      <c r="F687" s="156"/>
      <c r="G687" s="156"/>
      <c r="H687" s="156"/>
      <c r="I687" s="156"/>
      <c r="J687" s="157"/>
    </row>
    <row r="688" spans="1:10" ht="12.75" customHeight="1">
      <c r="A688" s="158"/>
      <c r="B688" s="156"/>
      <c r="C688" s="156"/>
      <c r="D688" s="156"/>
      <c r="E688" s="156"/>
      <c r="F688" s="156"/>
      <c r="G688" s="156"/>
      <c r="H688" s="156"/>
      <c r="I688" s="156"/>
      <c r="J688" s="157"/>
    </row>
    <row r="689" spans="1:10" ht="12.75" customHeight="1">
      <c r="A689" s="158"/>
      <c r="B689" s="156"/>
      <c r="C689" s="156"/>
      <c r="D689" s="156"/>
      <c r="E689" s="156"/>
      <c r="F689" s="156"/>
      <c r="G689" s="156"/>
      <c r="H689" s="156"/>
      <c r="I689" s="156"/>
      <c r="J689" s="157"/>
    </row>
    <row r="690" spans="1:10" ht="12.75" customHeight="1">
      <c r="A690" s="158"/>
      <c r="B690" s="156"/>
      <c r="C690" s="156"/>
      <c r="D690" s="156"/>
      <c r="E690" s="156"/>
      <c r="F690" s="156"/>
      <c r="G690" s="156"/>
      <c r="H690" s="156"/>
      <c r="I690" s="156"/>
      <c r="J690" s="157"/>
    </row>
    <row r="691" spans="1:10" ht="12.75" customHeight="1">
      <c r="A691" s="199"/>
      <c r="B691" s="167"/>
      <c r="C691" s="167"/>
      <c r="D691" s="167"/>
      <c r="E691" s="167"/>
      <c r="F691" s="167"/>
      <c r="G691" s="167"/>
      <c r="H691" s="167"/>
      <c r="I691" s="167"/>
      <c r="J691" s="168"/>
    </row>
    <row r="692" spans="1:10" ht="12.75" customHeight="1"/>
    <row r="693" spans="1:10" ht="12.75" customHeight="1">
      <c r="A693" s="207" t="s">
        <v>65</v>
      </c>
      <c r="B693" s="152"/>
      <c r="C693" s="152"/>
      <c r="D693" s="152"/>
      <c r="E693" s="152"/>
      <c r="F693" s="152"/>
      <c r="G693" s="181"/>
      <c r="H693" s="208" t="str">
        <f>'CONTACT INFORMATION'!$A$24</f>
        <v>Humboldt</v>
      </c>
      <c r="I693" s="152"/>
      <c r="J693" s="153"/>
    </row>
    <row r="694" spans="1:10" ht="7.5" customHeight="1">
      <c r="A694" s="107"/>
      <c r="B694" s="107"/>
      <c r="C694" s="107"/>
      <c r="D694" s="107"/>
      <c r="E694" s="107"/>
      <c r="F694" s="107"/>
      <c r="G694" s="107"/>
      <c r="H694" s="107"/>
      <c r="I694" s="107"/>
      <c r="J694" s="107"/>
    </row>
    <row r="695" spans="1:10" ht="12.75" customHeight="1">
      <c r="A695" s="251" t="s">
        <v>177</v>
      </c>
      <c r="B695" s="152"/>
      <c r="C695" s="152"/>
      <c r="D695" s="152"/>
      <c r="E695" s="152"/>
      <c r="F695" s="152"/>
      <c r="G695" s="152"/>
      <c r="H695" s="152"/>
      <c r="I695" s="152"/>
      <c r="J695" s="153"/>
    </row>
    <row r="696" spans="1:10" ht="12.75" customHeight="1">
      <c r="A696" s="252" t="s">
        <v>140</v>
      </c>
      <c r="B696" s="163"/>
      <c r="C696" s="163"/>
      <c r="D696" s="164"/>
      <c r="E696" s="269"/>
      <c r="F696" s="197"/>
      <c r="G696" s="197"/>
      <c r="H696" s="197"/>
      <c r="I696" s="197"/>
      <c r="J696" s="198"/>
    </row>
    <row r="697" spans="1:10" ht="12.75" customHeight="1">
      <c r="A697" s="254" t="s">
        <v>161</v>
      </c>
      <c r="B697" s="149"/>
      <c r="C697" s="149"/>
      <c r="D697" s="150"/>
      <c r="E697" s="199"/>
      <c r="F697" s="167"/>
      <c r="G697" s="167"/>
      <c r="H697" s="167"/>
      <c r="I697" s="167"/>
      <c r="J697" s="168"/>
    </row>
    <row r="698" spans="1:10" ht="12.75" customHeight="1">
      <c r="A698" s="259" t="s">
        <v>178</v>
      </c>
      <c r="B698" s="152"/>
      <c r="C698" s="152"/>
      <c r="D698" s="153"/>
      <c r="E698" s="221"/>
      <c r="F698" s="152"/>
      <c r="G698" s="152"/>
      <c r="H698" s="152"/>
      <c r="I698" s="152"/>
      <c r="J698" s="153"/>
    </row>
    <row r="699" spans="1:10" ht="27" customHeight="1">
      <c r="A699" s="108"/>
      <c r="B699" s="104"/>
      <c r="C699" s="104"/>
      <c r="D699" s="104"/>
      <c r="E699" s="255" t="s">
        <v>143</v>
      </c>
      <c r="F699" s="167"/>
      <c r="G699" s="255" t="s">
        <v>144</v>
      </c>
      <c r="H699" s="167"/>
      <c r="I699" s="256" t="s">
        <v>145</v>
      </c>
      <c r="J699" s="168"/>
    </row>
    <row r="700" spans="1:10" ht="12.75" customHeight="1">
      <c r="A700" s="220" t="s">
        <v>146</v>
      </c>
      <c r="B700" s="152"/>
      <c r="C700" s="152"/>
      <c r="D700" s="153"/>
      <c r="E700" s="239"/>
      <c r="F700" s="153"/>
      <c r="G700" s="239"/>
      <c r="H700" s="153"/>
      <c r="I700" s="240"/>
      <c r="J700" s="153"/>
    </row>
    <row r="701" spans="1:10" ht="12.75" customHeight="1">
      <c r="A701" s="241" t="s">
        <v>147</v>
      </c>
      <c r="B701" s="152"/>
      <c r="C701" s="152"/>
      <c r="D701" s="153"/>
      <c r="E701" s="264"/>
      <c r="F701" s="153"/>
      <c r="G701" s="257"/>
      <c r="H701" s="153"/>
      <c r="I701" s="258"/>
      <c r="J701" s="153"/>
    </row>
    <row r="702" spans="1:10" ht="12.75" customHeight="1">
      <c r="A702" s="220" t="s">
        <v>148</v>
      </c>
      <c r="B702" s="152"/>
      <c r="C702" s="152"/>
      <c r="D702" s="153"/>
      <c r="E702" s="239"/>
      <c r="F702" s="153"/>
      <c r="G702" s="239"/>
      <c r="H702" s="153"/>
      <c r="I702" s="240"/>
      <c r="J702" s="153"/>
    </row>
    <row r="703" spans="1:10" ht="12.75" customHeight="1">
      <c r="A703" s="241" t="s">
        <v>149</v>
      </c>
      <c r="B703" s="152"/>
      <c r="C703" s="152"/>
      <c r="D703" s="153"/>
      <c r="E703" s="264"/>
      <c r="F703" s="153"/>
      <c r="G703" s="257"/>
      <c r="H703" s="153"/>
      <c r="I703" s="258"/>
      <c r="J703" s="153"/>
    </row>
    <row r="704" spans="1:10" ht="12.75" customHeight="1">
      <c r="A704" s="220" t="s">
        <v>150</v>
      </c>
      <c r="B704" s="152"/>
      <c r="C704" s="152"/>
      <c r="D704" s="153"/>
      <c r="E704" s="239"/>
      <c r="F704" s="153"/>
      <c r="G704" s="239"/>
      <c r="H704" s="153"/>
      <c r="I704" s="240"/>
      <c r="J704" s="153"/>
    </row>
    <row r="705" spans="1:10" ht="12.75" customHeight="1">
      <c r="A705" s="241" t="s">
        <v>151</v>
      </c>
      <c r="B705" s="152"/>
      <c r="C705" s="152"/>
      <c r="D705" s="153"/>
      <c r="E705" s="264"/>
      <c r="F705" s="153"/>
      <c r="G705" s="257"/>
      <c r="H705" s="153"/>
      <c r="I705" s="258"/>
      <c r="J705" s="153"/>
    </row>
    <row r="706" spans="1:10" ht="12.75" customHeight="1">
      <c r="A706" s="220" t="s">
        <v>152</v>
      </c>
      <c r="B706" s="152"/>
      <c r="C706" s="152"/>
      <c r="D706" s="153"/>
      <c r="E706" s="262"/>
      <c r="F706" s="153"/>
      <c r="G706" s="262"/>
      <c r="H706" s="153"/>
      <c r="I706" s="263"/>
      <c r="J706" s="153"/>
    </row>
    <row r="707" spans="1:10" ht="12.75" customHeight="1">
      <c r="A707" s="265"/>
      <c r="B707" s="152"/>
      <c r="C707" s="152"/>
      <c r="D707" s="153"/>
      <c r="E707" s="264"/>
      <c r="F707" s="153"/>
      <c r="G707" s="257"/>
      <c r="H707" s="153"/>
      <c r="I707" s="257"/>
      <c r="J707" s="153"/>
    </row>
    <row r="708" spans="1:10" ht="12.75" customHeight="1">
      <c r="A708" s="265"/>
      <c r="B708" s="152"/>
      <c r="C708" s="152"/>
      <c r="D708" s="153"/>
      <c r="E708" s="264"/>
      <c r="F708" s="153"/>
      <c r="G708" s="257"/>
      <c r="H708" s="153"/>
      <c r="I708" s="257"/>
      <c r="J708" s="153"/>
    </row>
    <row r="709" spans="1:10" ht="12.75" customHeight="1">
      <c r="A709" s="265"/>
      <c r="B709" s="152"/>
      <c r="C709" s="152"/>
      <c r="D709" s="153"/>
      <c r="E709" s="264"/>
      <c r="F709" s="153"/>
      <c r="G709" s="257"/>
      <c r="H709" s="153"/>
      <c r="I709" s="257"/>
      <c r="J709" s="153"/>
    </row>
    <row r="710" spans="1:10" ht="12.75" customHeight="1">
      <c r="A710" s="222" t="s">
        <v>153</v>
      </c>
      <c r="B710" s="152"/>
      <c r="C710" s="152"/>
      <c r="D710" s="153"/>
      <c r="E710" s="266">
        <f>SUM(E700:E709)</f>
        <v>0</v>
      </c>
      <c r="F710" s="153"/>
      <c r="G710" s="266">
        <f>SUM(G700:G709)</f>
        <v>0</v>
      </c>
      <c r="H710" s="153"/>
      <c r="I710" s="266">
        <f>SUM(I700:I709)</f>
        <v>0</v>
      </c>
      <c r="J710" s="153"/>
    </row>
    <row r="711" spans="1:10" ht="12.75" customHeight="1">
      <c r="A711" s="267" t="s">
        <v>154</v>
      </c>
      <c r="B711" s="163"/>
      <c r="C711" s="163"/>
      <c r="D711" s="163"/>
      <c r="E711" s="163"/>
      <c r="F711" s="163"/>
      <c r="G711" s="163"/>
      <c r="H711" s="163"/>
      <c r="I711" s="163"/>
      <c r="J711" s="164"/>
    </row>
    <row r="712" spans="1:10" ht="12.75" customHeight="1">
      <c r="A712" s="268" t="s">
        <v>155</v>
      </c>
      <c r="B712" s="171"/>
      <c r="C712" s="171"/>
      <c r="D712" s="171"/>
      <c r="E712" s="171"/>
      <c r="F712" s="171"/>
      <c r="G712" s="171"/>
      <c r="H712" s="171"/>
      <c r="I712" s="171"/>
      <c r="J712" s="172"/>
    </row>
    <row r="713" spans="1:10" ht="12.75" customHeight="1">
      <c r="A713" s="268" t="s">
        <v>156</v>
      </c>
      <c r="B713" s="171"/>
      <c r="C713" s="171"/>
      <c r="D713" s="171"/>
      <c r="E713" s="171"/>
      <c r="F713" s="171"/>
      <c r="G713" s="171"/>
      <c r="H713" s="171"/>
      <c r="I713" s="171"/>
      <c r="J713" s="172"/>
    </row>
    <row r="714" spans="1:10" ht="12.75" customHeight="1">
      <c r="A714" s="260" t="s">
        <v>157</v>
      </c>
      <c r="B714" s="149"/>
      <c r="C714" s="149"/>
      <c r="D714" s="149"/>
      <c r="E714" s="149"/>
      <c r="F714" s="149"/>
      <c r="G714" s="149"/>
      <c r="H714" s="149"/>
      <c r="I714" s="149"/>
      <c r="J714" s="150"/>
    </row>
    <row r="715" spans="1:10" ht="12.75" customHeight="1">
      <c r="A715" s="196"/>
      <c r="B715" s="197"/>
      <c r="C715" s="197"/>
      <c r="D715" s="197"/>
      <c r="E715" s="197"/>
      <c r="F715" s="197"/>
      <c r="G715" s="197"/>
      <c r="H715" s="197"/>
      <c r="I715" s="197"/>
      <c r="J715" s="198"/>
    </row>
    <row r="716" spans="1:10" ht="12.75" customHeight="1">
      <c r="A716" s="158"/>
      <c r="B716" s="156"/>
      <c r="C716" s="156"/>
      <c r="D716" s="156"/>
      <c r="E716" s="156"/>
      <c r="F716" s="156"/>
      <c r="G716" s="156"/>
      <c r="H716" s="156"/>
      <c r="I716" s="156"/>
      <c r="J716" s="157"/>
    </row>
    <row r="717" spans="1:10" ht="12.75" customHeight="1">
      <c r="A717" s="158"/>
      <c r="B717" s="156"/>
      <c r="C717" s="156"/>
      <c r="D717" s="156"/>
      <c r="E717" s="156"/>
      <c r="F717" s="156"/>
      <c r="G717" s="156"/>
      <c r="H717" s="156"/>
      <c r="I717" s="156"/>
      <c r="J717" s="157"/>
    </row>
    <row r="718" spans="1:10" ht="12.75" customHeight="1">
      <c r="A718" s="158"/>
      <c r="B718" s="156"/>
      <c r="C718" s="156"/>
      <c r="D718" s="156"/>
      <c r="E718" s="156"/>
      <c r="F718" s="156"/>
      <c r="G718" s="156"/>
      <c r="H718" s="156"/>
      <c r="I718" s="156"/>
      <c r="J718" s="157"/>
    </row>
    <row r="719" spans="1:10" ht="12.75" customHeight="1">
      <c r="A719" s="158"/>
      <c r="B719" s="156"/>
      <c r="C719" s="156"/>
      <c r="D719" s="156"/>
      <c r="E719" s="156"/>
      <c r="F719" s="156"/>
      <c r="G719" s="156"/>
      <c r="H719" s="156"/>
      <c r="I719" s="156"/>
      <c r="J719" s="157"/>
    </row>
    <row r="720" spans="1:10" ht="12.75" customHeight="1">
      <c r="A720" s="158"/>
      <c r="B720" s="156"/>
      <c r="C720" s="156"/>
      <c r="D720" s="156"/>
      <c r="E720" s="156"/>
      <c r="F720" s="156"/>
      <c r="G720" s="156"/>
      <c r="H720" s="156"/>
      <c r="I720" s="156"/>
      <c r="J720" s="157"/>
    </row>
    <row r="721" spans="1:10" ht="12.75" customHeight="1">
      <c r="A721" s="158"/>
      <c r="B721" s="156"/>
      <c r="C721" s="156"/>
      <c r="D721" s="156"/>
      <c r="E721" s="156"/>
      <c r="F721" s="156"/>
      <c r="G721" s="156"/>
      <c r="H721" s="156"/>
      <c r="I721" s="156"/>
      <c r="J721" s="157"/>
    </row>
    <row r="722" spans="1:10" ht="12.75" customHeight="1">
      <c r="A722" s="158"/>
      <c r="B722" s="156"/>
      <c r="C722" s="156"/>
      <c r="D722" s="156"/>
      <c r="E722" s="156"/>
      <c r="F722" s="156"/>
      <c r="G722" s="156"/>
      <c r="H722" s="156"/>
      <c r="I722" s="156"/>
      <c r="J722" s="157"/>
    </row>
    <row r="723" spans="1:10" ht="12.75" customHeight="1">
      <c r="A723" s="158"/>
      <c r="B723" s="156"/>
      <c r="C723" s="156"/>
      <c r="D723" s="156"/>
      <c r="E723" s="156"/>
      <c r="F723" s="156"/>
      <c r="G723" s="156"/>
      <c r="H723" s="156"/>
      <c r="I723" s="156"/>
      <c r="J723" s="157"/>
    </row>
    <row r="724" spans="1:10" ht="12.75" customHeight="1">
      <c r="A724" s="158"/>
      <c r="B724" s="156"/>
      <c r="C724" s="156"/>
      <c r="D724" s="156"/>
      <c r="E724" s="156"/>
      <c r="F724" s="156"/>
      <c r="G724" s="156"/>
      <c r="H724" s="156"/>
      <c r="I724" s="156"/>
      <c r="J724" s="157"/>
    </row>
    <row r="725" spans="1:10" ht="12.75" customHeight="1">
      <c r="A725" s="158"/>
      <c r="B725" s="156"/>
      <c r="C725" s="156"/>
      <c r="D725" s="156"/>
      <c r="E725" s="156"/>
      <c r="F725" s="156"/>
      <c r="G725" s="156"/>
      <c r="H725" s="156"/>
      <c r="I725" s="156"/>
      <c r="J725" s="157"/>
    </row>
    <row r="726" spans="1:10" ht="12.75" customHeight="1">
      <c r="A726" s="158"/>
      <c r="B726" s="156"/>
      <c r="C726" s="156"/>
      <c r="D726" s="156"/>
      <c r="E726" s="156"/>
      <c r="F726" s="156"/>
      <c r="G726" s="156"/>
      <c r="H726" s="156"/>
      <c r="I726" s="156"/>
      <c r="J726" s="157"/>
    </row>
    <row r="727" spans="1:10" ht="12.75" customHeight="1">
      <c r="A727" s="158"/>
      <c r="B727" s="156"/>
      <c r="C727" s="156"/>
      <c r="D727" s="156"/>
      <c r="E727" s="156"/>
      <c r="F727" s="156"/>
      <c r="G727" s="156"/>
      <c r="H727" s="156"/>
      <c r="I727" s="156"/>
      <c r="J727" s="157"/>
    </row>
    <row r="728" spans="1:10" ht="12.75" customHeight="1">
      <c r="A728" s="158"/>
      <c r="B728" s="156"/>
      <c r="C728" s="156"/>
      <c r="D728" s="156"/>
      <c r="E728" s="156"/>
      <c r="F728" s="156"/>
      <c r="G728" s="156"/>
      <c r="H728" s="156"/>
      <c r="I728" s="156"/>
      <c r="J728" s="157"/>
    </row>
    <row r="729" spans="1:10" ht="12.75" customHeight="1">
      <c r="A729" s="158"/>
      <c r="B729" s="156"/>
      <c r="C729" s="156"/>
      <c r="D729" s="156"/>
      <c r="E729" s="156"/>
      <c r="F729" s="156"/>
      <c r="G729" s="156"/>
      <c r="H729" s="156"/>
      <c r="I729" s="156"/>
      <c r="J729" s="157"/>
    </row>
    <row r="730" spans="1:10" ht="12.75" customHeight="1">
      <c r="A730" s="158"/>
      <c r="B730" s="156"/>
      <c r="C730" s="156"/>
      <c r="D730" s="156"/>
      <c r="E730" s="156"/>
      <c r="F730" s="156"/>
      <c r="G730" s="156"/>
      <c r="H730" s="156"/>
      <c r="I730" s="156"/>
      <c r="J730" s="157"/>
    </row>
    <row r="731" spans="1:10" ht="12.75" customHeight="1">
      <c r="A731" s="158"/>
      <c r="B731" s="156"/>
      <c r="C731" s="156"/>
      <c r="D731" s="156"/>
      <c r="E731" s="156"/>
      <c r="F731" s="156"/>
      <c r="G731" s="156"/>
      <c r="H731" s="156"/>
      <c r="I731" s="156"/>
      <c r="J731" s="157"/>
    </row>
    <row r="732" spans="1:10" ht="12.75" customHeight="1">
      <c r="A732" s="158"/>
      <c r="B732" s="156"/>
      <c r="C732" s="156"/>
      <c r="D732" s="156"/>
      <c r="E732" s="156"/>
      <c r="F732" s="156"/>
      <c r="G732" s="156"/>
      <c r="H732" s="156"/>
      <c r="I732" s="156"/>
      <c r="J732" s="157"/>
    </row>
    <row r="733" spans="1:10" ht="12.75" customHeight="1">
      <c r="A733" s="158"/>
      <c r="B733" s="156"/>
      <c r="C733" s="156"/>
      <c r="D733" s="156"/>
      <c r="E733" s="156"/>
      <c r="F733" s="156"/>
      <c r="G733" s="156"/>
      <c r="H733" s="156"/>
      <c r="I733" s="156"/>
      <c r="J733" s="157"/>
    </row>
    <row r="734" spans="1:10" ht="12.75" customHeight="1">
      <c r="A734" s="158"/>
      <c r="B734" s="156"/>
      <c r="C734" s="156"/>
      <c r="D734" s="156"/>
      <c r="E734" s="156"/>
      <c r="F734" s="156"/>
      <c r="G734" s="156"/>
      <c r="H734" s="156"/>
      <c r="I734" s="156"/>
      <c r="J734" s="157"/>
    </row>
    <row r="735" spans="1:10" ht="12.75" customHeight="1">
      <c r="A735" s="158"/>
      <c r="B735" s="156"/>
      <c r="C735" s="156"/>
      <c r="D735" s="156"/>
      <c r="E735" s="156"/>
      <c r="F735" s="156"/>
      <c r="G735" s="156"/>
      <c r="H735" s="156"/>
      <c r="I735" s="156"/>
      <c r="J735" s="157"/>
    </row>
    <row r="736" spans="1:10" ht="12.75" customHeight="1">
      <c r="A736" s="158"/>
      <c r="B736" s="156"/>
      <c r="C736" s="156"/>
      <c r="D736" s="156"/>
      <c r="E736" s="156"/>
      <c r="F736" s="156"/>
      <c r="G736" s="156"/>
      <c r="H736" s="156"/>
      <c r="I736" s="156"/>
      <c r="J736" s="157"/>
    </row>
    <row r="737" spans="1:10" ht="12.75" customHeight="1">
      <c r="A737" s="158"/>
      <c r="B737" s="156"/>
      <c r="C737" s="156"/>
      <c r="D737" s="156"/>
      <c r="E737" s="156"/>
      <c r="F737" s="156"/>
      <c r="G737" s="156"/>
      <c r="H737" s="156"/>
      <c r="I737" s="156"/>
      <c r="J737" s="157"/>
    </row>
    <row r="738" spans="1:10" ht="12.75" customHeight="1">
      <c r="A738" s="158"/>
      <c r="B738" s="156"/>
      <c r="C738" s="156"/>
      <c r="D738" s="156"/>
      <c r="E738" s="156"/>
      <c r="F738" s="156"/>
      <c r="G738" s="156"/>
      <c r="H738" s="156"/>
      <c r="I738" s="156"/>
      <c r="J738" s="157"/>
    </row>
    <row r="739" spans="1:10" ht="12.75" customHeight="1">
      <c r="A739" s="158"/>
      <c r="B739" s="156"/>
      <c r="C739" s="156"/>
      <c r="D739" s="156"/>
      <c r="E739" s="156"/>
      <c r="F739" s="156"/>
      <c r="G739" s="156"/>
      <c r="H739" s="156"/>
      <c r="I739" s="156"/>
      <c r="J739" s="157"/>
    </row>
    <row r="740" spans="1:10" ht="12.75" customHeight="1">
      <c r="A740" s="158"/>
      <c r="B740" s="156"/>
      <c r="C740" s="156"/>
      <c r="D740" s="156"/>
      <c r="E740" s="156"/>
      <c r="F740" s="156"/>
      <c r="G740" s="156"/>
      <c r="H740" s="156"/>
      <c r="I740" s="156"/>
      <c r="J740" s="157"/>
    </row>
    <row r="741" spans="1:10" ht="12.75" customHeight="1">
      <c r="A741" s="158"/>
      <c r="B741" s="156"/>
      <c r="C741" s="156"/>
      <c r="D741" s="156"/>
      <c r="E741" s="156"/>
      <c r="F741" s="156"/>
      <c r="G741" s="156"/>
      <c r="H741" s="156"/>
      <c r="I741" s="156"/>
      <c r="J741" s="157"/>
    </row>
    <row r="742" spans="1:10" ht="12.75" customHeight="1">
      <c r="A742" s="158"/>
      <c r="B742" s="156"/>
      <c r="C742" s="156"/>
      <c r="D742" s="156"/>
      <c r="E742" s="156"/>
      <c r="F742" s="156"/>
      <c r="G742" s="156"/>
      <c r="H742" s="156"/>
      <c r="I742" s="156"/>
      <c r="J742" s="157"/>
    </row>
    <row r="743" spans="1:10" ht="12.75" customHeight="1">
      <c r="A743" s="158"/>
      <c r="B743" s="156"/>
      <c r="C743" s="156"/>
      <c r="D743" s="156"/>
      <c r="E743" s="156"/>
      <c r="F743" s="156"/>
      <c r="G743" s="156"/>
      <c r="H743" s="156"/>
      <c r="I743" s="156"/>
      <c r="J743" s="157"/>
    </row>
    <row r="744" spans="1:10" ht="12.75" customHeight="1">
      <c r="A744" s="158"/>
      <c r="B744" s="156"/>
      <c r="C744" s="156"/>
      <c r="D744" s="156"/>
      <c r="E744" s="156"/>
      <c r="F744" s="156"/>
      <c r="G744" s="156"/>
      <c r="H744" s="156"/>
      <c r="I744" s="156"/>
      <c r="J744" s="157"/>
    </row>
    <row r="745" spans="1:10" ht="12.75" customHeight="1">
      <c r="A745" s="158"/>
      <c r="B745" s="156"/>
      <c r="C745" s="156"/>
      <c r="D745" s="156"/>
      <c r="E745" s="156"/>
      <c r="F745" s="156"/>
      <c r="G745" s="156"/>
      <c r="H745" s="156"/>
      <c r="I745" s="156"/>
      <c r="J745" s="157"/>
    </row>
    <row r="746" spans="1:10" ht="12.75" customHeight="1">
      <c r="A746" s="158"/>
      <c r="B746" s="156"/>
      <c r="C746" s="156"/>
      <c r="D746" s="156"/>
      <c r="E746" s="156"/>
      <c r="F746" s="156"/>
      <c r="G746" s="156"/>
      <c r="H746" s="156"/>
      <c r="I746" s="156"/>
      <c r="J746" s="157"/>
    </row>
    <row r="747" spans="1:10" ht="12.75" customHeight="1">
      <c r="A747" s="158"/>
      <c r="B747" s="156"/>
      <c r="C747" s="156"/>
      <c r="D747" s="156"/>
      <c r="E747" s="156"/>
      <c r="F747" s="156"/>
      <c r="G747" s="156"/>
      <c r="H747" s="156"/>
      <c r="I747" s="156"/>
      <c r="J747" s="157"/>
    </row>
    <row r="748" spans="1:10" ht="12.75" customHeight="1">
      <c r="A748" s="158"/>
      <c r="B748" s="156"/>
      <c r="C748" s="156"/>
      <c r="D748" s="156"/>
      <c r="E748" s="156"/>
      <c r="F748" s="156"/>
      <c r="G748" s="156"/>
      <c r="H748" s="156"/>
      <c r="I748" s="156"/>
      <c r="J748" s="157"/>
    </row>
    <row r="749" spans="1:10" ht="12.75" customHeight="1">
      <c r="A749" s="199"/>
      <c r="B749" s="167"/>
      <c r="C749" s="167"/>
      <c r="D749" s="167"/>
      <c r="E749" s="167"/>
      <c r="F749" s="167"/>
      <c r="G749" s="167"/>
      <c r="H749" s="167"/>
      <c r="I749" s="167"/>
      <c r="J749" s="168"/>
    </row>
    <row r="750" spans="1:10" ht="12.75" customHeight="1"/>
    <row r="751" spans="1:10" ht="12.75" customHeight="1">
      <c r="A751" s="207" t="s">
        <v>65</v>
      </c>
      <c r="B751" s="152"/>
      <c r="C751" s="152"/>
      <c r="D751" s="152"/>
      <c r="E751" s="152"/>
      <c r="F751" s="152"/>
      <c r="G751" s="181"/>
      <c r="H751" s="208" t="str">
        <f>'CONTACT INFORMATION'!$A$24</f>
        <v>Humboldt</v>
      </c>
      <c r="I751" s="152"/>
      <c r="J751" s="153"/>
    </row>
    <row r="752" spans="1:10" ht="7.5" customHeight="1">
      <c r="A752" s="107"/>
      <c r="B752" s="107"/>
      <c r="C752" s="107"/>
      <c r="D752" s="107"/>
      <c r="E752" s="107"/>
      <c r="F752" s="107"/>
      <c r="G752" s="107"/>
      <c r="H752" s="107"/>
      <c r="I752" s="107"/>
      <c r="J752" s="107"/>
    </row>
    <row r="753" spans="1:10" ht="12.75" customHeight="1">
      <c r="A753" s="251" t="s">
        <v>179</v>
      </c>
      <c r="B753" s="152"/>
      <c r="C753" s="152"/>
      <c r="D753" s="152"/>
      <c r="E753" s="152"/>
      <c r="F753" s="152"/>
      <c r="G753" s="152"/>
      <c r="H753" s="152"/>
      <c r="I753" s="152"/>
      <c r="J753" s="153"/>
    </row>
    <row r="754" spans="1:10" ht="12.75" customHeight="1">
      <c r="A754" s="252" t="s">
        <v>140</v>
      </c>
      <c r="B754" s="163"/>
      <c r="C754" s="163"/>
      <c r="D754" s="164"/>
      <c r="E754" s="269"/>
      <c r="F754" s="197"/>
      <c r="G754" s="197"/>
      <c r="H754" s="197"/>
      <c r="I754" s="197"/>
      <c r="J754" s="198"/>
    </row>
    <row r="755" spans="1:10" ht="12.75" customHeight="1">
      <c r="A755" s="254" t="s">
        <v>161</v>
      </c>
      <c r="B755" s="149"/>
      <c r="C755" s="149"/>
      <c r="D755" s="150"/>
      <c r="E755" s="199"/>
      <c r="F755" s="167"/>
      <c r="G755" s="167"/>
      <c r="H755" s="167"/>
      <c r="I755" s="167"/>
      <c r="J755" s="168"/>
    </row>
    <row r="756" spans="1:10" ht="12.75" customHeight="1">
      <c r="A756" s="259" t="s">
        <v>180</v>
      </c>
      <c r="B756" s="152"/>
      <c r="C756" s="152"/>
      <c r="D756" s="153"/>
      <c r="E756" s="221"/>
      <c r="F756" s="152"/>
      <c r="G756" s="152"/>
      <c r="H756" s="152"/>
      <c r="I756" s="152"/>
      <c r="J756" s="153"/>
    </row>
    <row r="757" spans="1:10" ht="27" customHeight="1">
      <c r="A757" s="108"/>
      <c r="B757" s="104"/>
      <c r="C757" s="104"/>
      <c r="D757" s="104"/>
      <c r="E757" s="255" t="s">
        <v>143</v>
      </c>
      <c r="F757" s="167"/>
      <c r="G757" s="255" t="s">
        <v>144</v>
      </c>
      <c r="H757" s="167"/>
      <c r="I757" s="256" t="s">
        <v>145</v>
      </c>
      <c r="J757" s="168"/>
    </row>
    <row r="758" spans="1:10" ht="12.75" customHeight="1">
      <c r="A758" s="220" t="s">
        <v>146</v>
      </c>
      <c r="B758" s="152"/>
      <c r="C758" s="152"/>
      <c r="D758" s="153"/>
      <c r="E758" s="239"/>
      <c r="F758" s="153"/>
      <c r="G758" s="239"/>
      <c r="H758" s="153"/>
      <c r="I758" s="240"/>
      <c r="J758" s="153"/>
    </row>
    <row r="759" spans="1:10" ht="12.75" customHeight="1">
      <c r="A759" s="241" t="s">
        <v>147</v>
      </c>
      <c r="B759" s="152"/>
      <c r="C759" s="152"/>
      <c r="D759" s="153"/>
      <c r="E759" s="264"/>
      <c r="F759" s="153"/>
      <c r="G759" s="257"/>
      <c r="H759" s="153"/>
      <c r="I759" s="258"/>
      <c r="J759" s="153"/>
    </row>
    <row r="760" spans="1:10" ht="12.75" customHeight="1">
      <c r="A760" s="220" t="s">
        <v>148</v>
      </c>
      <c r="B760" s="152"/>
      <c r="C760" s="152"/>
      <c r="D760" s="153"/>
      <c r="E760" s="239"/>
      <c r="F760" s="153"/>
      <c r="G760" s="239"/>
      <c r="H760" s="153"/>
      <c r="I760" s="240"/>
      <c r="J760" s="153"/>
    </row>
    <row r="761" spans="1:10" ht="12.75" customHeight="1">
      <c r="A761" s="241" t="s">
        <v>149</v>
      </c>
      <c r="B761" s="152"/>
      <c r="C761" s="152"/>
      <c r="D761" s="153"/>
      <c r="E761" s="264"/>
      <c r="F761" s="153"/>
      <c r="G761" s="257"/>
      <c r="H761" s="153"/>
      <c r="I761" s="258"/>
      <c r="J761" s="153"/>
    </row>
    <row r="762" spans="1:10" ht="12.75" customHeight="1">
      <c r="A762" s="220" t="s">
        <v>150</v>
      </c>
      <c r="B762" s="152"/>
      <c r="C762" s="152"/>
      <c r="D762" s="153"/>
      <c r="E762" s="239"/>
      <c r="F762" s="153"/>
      <c r="G762" s="239"/>
      <c r="H762" s="153"/>
      <c r="I762" s="240"/>
      <c r="J762" s="153"/>
    </row>
    <row r="763" spans="1:10" ht="12.75" customHeight="1">
      <c r="A763" s="241" t="s">
        <v>151</v>
      </c>
      <c r="B763" s="152"/>
      <c r="C763" s="152"/>
      <c r="D763" s="153"/>
      <c r="E763" s="264"/>
      <c r="F763" s="153"/>
      <c r="G763" s="257"/>
      <c r="H763" s="153"/>
      <c r="I763" s="258"/>
      <c r="J763" s="153"/>
    </row>
    <row r="764" spans="1:10" ht="12.75" customHeight="1">
      <c r="A764" s="220" t="s">
        <v>152</v>
      </c>
      <c r="B764" s="152"/>
      <c r="C764" s="152"/>
      <c r="D764" s="153"/>
      <c r="E764" s="262"/>
      <c r="F764" s="153"/>
      <c r="G764" s="262"/>
      <c r="H764" s="153"/>
      <c r="I764" s="263"/>
      <c r="J764" s="153"/>
    </row>
    <row r="765" spans="1:10" ht="12.75" customHeight="1">
      <c r="A765" s="265"/>
      <c r="B765" s="152"/>
      <c r="C765" s="152"/>
      <c r="D765" s="153"/>
      <c r="E765" s="264"/>
      <c r="F765" s="153"/>
      <c r="G765" s="257"/>
      <c r="H765" s="153"/>
      <c r="I765" s="257"/>
      <c r="J765" s="153"/>
    </row>
    <row r="766" spans="1:10" ht="12.75" customHeight="1">
      <c r="A766" s="265"/>
      <c r="B766" s="152"/>
      <c r="C766" s="152"/>
      <c r="D766" s="153"/>
      <c r="E766" s="264"/>
      <c r="F766" s="153"/>
      <c r="G766" s="257"/>
      <c r="H766" s="153"/>
      <c r="I766" s="257"/>
      <c r="J766" s="153"/>
    </row>
    <row r="767" spans="1:10" ht="12.75" customHeight="1">
      <c r="A767" s="265"/>
      <c r="B767" s="152"/>
      <c r="C767" s="152"/>
      <c r="D767" s="153"/>
      <c r="E767" s="264"/>
      <c r="F767" s="153"/>
      <c r="G767" s="257"/>
      <c r="H767" s="153"/>
      <c r="I767" s="257"/>
      <c r="J767" s="153"/>
    </row>
    <row r="768" spans="1:10" ht="12.75" customHeight="1">
      <c r="A768" s="222" t="s">
        <v>153</v>
      </c>
      <c r="B768" s="152"/>
      <c r="C768" s="152"/>
      <c r="D768" s="153"/>
      <c r="E768" s="266">
        <f>SUM(E758:E767)</f>
        <v>0</v>
      </c>
      <c r="F768" s="153"/>
      <c r="G768" s="266">
        <f>SUM(G758:G767)</f>
        <v>0</v>
      </c>
      <c r="H768" s="153"/>
      <c r="I768" s="266">
        <f>SUM(I758:I767)</f>
        <v>0</v>
      </c>
      <c r="J768" s="153"/>
    </row>
    <row r="769" spans="1:10" ht="12.75" customHeight="1">
      <c r="A769" s="267" t="s">
        <v>154</v>
      </c>
      <c r="B769" s="163"/>
      <c r="C769" s="163"/>
      <c r="D769" s="163"/>
      <c r="E769" s="163"/>
      <c r="F769" s="163"/>
      <c r="G769" s="163"/>
      <c r="H769" s="163"/>
      <c r="I769" s="163"/>
      <c r="J769" s="164"/>
    </row>
    <row r="770" spans="1:10" ht="12.75" customHeight="1">
      <c r="A770" s="268" t="s">
        <v>155</v>
      </c>
      <c r="B770" s="171"/>
      <c r="C770" s="171"/>
      <c r="D770" s="171"/>
      <c r="E770" s="171"/>
      <c r="F770" s="171"/>
      <c r="G770" s="171"/>
      <c r="H770" s="171"/>
      <c r="I770" s="171"/>
      <c r="J770" s="172"/>
    </row>
    <row r="771" spans="1:10" ht="12.75" customHeight="1">
      <c r="A771" s="268" t="s">
        <v>156</v>
      </c>
      <c r="B771" s="171"/>
      <c r="C771" s="171"/>
      <c r="D771" s="171"/>
      <c r="E771" s="171"/>
      <c r="F771" s="171"/>
      <c r="G771" s="171"/>
      <c r="H771" s="171"/>
      <c r="I771" s="171"/>
      <c r="J771" s="172"/>
    </row>
    <row r="772" spans="1:10" ht="12.75" customHeight="1">
      <c r="A772" s="260" t="s">
        <v>157</v>
      </c>
      <c r="B772" s="149"/>
      <c r="C772" s="149"/>
      <c r="D772" s="149"/>
      <c r="E772" s="149"/>
      <c r="F772" s="149"/>
      <c r="G772" s="149"/>
      <c r="H772" s="149"/>
      <c r="I772" s="149"/>
      <c r="J772" s="150"/>
    </row>
    <row r="773" spans="1:10" ht="12.75" customHeight="1">
      <c r="A773" s="196"/>
      <c r="B773" s="197"/>
      <c r="C773" s="197"/>
      <c r="D773" s="197"/>
      <c r="E773" s="197"/>
      <c r="F773" s="197"/>
      <c r="G773" s="197"/>
      <c r="H773" s="197"/>
      <c r="I773" s="197"/>
      <c r="J773" s="198"/>
    </row>
    <row r="774" spans="1:10" ht="12.75" customHeight="1">
      <c r="A774" s="158"/>
      <c r="B774" s="156"/>
      <c r="C774" s="156"/>
      <c r="D774" s="156"/>
      <c r="E774" s="156"/>
      <c r="F774" s="156"/>
      <c r="G774" s="156"/>
      <c r="H774" s="156"/>
      <c r="I774" s="156"/>
      <c r="J774" s="157"/>
    </row>
    <row r="775" spans="1:10" ht="12.75" customHeight="1">
      <c r="A775" s="158"/>
      <c r="B775" s="156"/>
      <c r="C775" s="156"/>
      <c r="D775" s="156"/>
      <c r="E775" s="156"/>
      <c r="F775" s="156"/>
      <c r="G775" s="156"/>
      <c r="H775" s="156"/>
      <c r="I775" s="156"/>
      <c r="J775" s="157"/>
    </row>
    <row r="776" spans="1:10" ht="12.75" customHeight="1">
      <c r="A776" s="158"/>
      <c r="B776" s="156"/>
      <c r="C776" s="156"/>
      <c r="D776" s="156"/>
      <c r="E776" s="156"/>
      <c r="F776" s="156"/>
      <c r="G776" s="156"/>
      <c r="H776" s="156"/>
      <c r="I776" s="156"/>
      <c r="J776" s="157"/>
    </row>
    <row r="777" spans="1:10" ht="12.75" customHeight="1">
      <c r="A777" s="158"/>
      <c r="B777" s="156"/>
      <c r="C777" s="156"/>
      <c r="D777" s="156"/>
      <c r="E777" s="156"/>
      <c r="F777" s="156"/>
      <c r="G777" s="156"/>
      <c r="H777" s="156"/>
      <c r="I777" s="156"/>
      <c r="J777" s="157"/>
    </row>
    <row r="778" spans="1:10" ht="12.75" customHeight="1">
      <c r="A778" s="158"/>
      <c r="B778" s="156"/>
      <c r="C778" s="156"/>
      <c r="D778" s="156"/>
      <c r="E778" s="156"/>
      <c r="F778" s="156"/>
      <c r="G778" s="156"/>
      <c r="H778" s="156"/>
      <c r="I778" s="156"/>
      <c r="J778" s="157"/>
    </row>
    <row r="779" spans="1:10" ht="12.75" customHeight="1">
      <c r="A779" s="158"/>
      <c r="B779" s="156"/>
      <c r="C779" s="156"/>
      <c r="D779" s="156"/>
      <c r="E779" s="156"/>
      <c r="F779" s="156"/>
      <c r="G779" s="156"/>
      <c r="H779" s="156"/>
      <c r="I779" s="156"/>
      <c r="J779" s="157"/>
    </row>
    <row r="780" spans="1:10" ht="12.75" customHeight="1">
      <c r="A780" s="158"/>
      <c r="B780" s="156"/>
      <c r="C780" s="156"/>
      <c r="D780" s="156"/>
      <c r="E780" s="156"/>
      <c r="F780" s="156"/>
      <c r="G780" s="156"/>
      <c r="H780" s="156"/>
      <c r="I780" s="156"/>
      <c r="J780" s="157"/>
    </row>
    <row r="781" spans="1:10" ht="12.75" customHeight="1">
      <c r="A781" s="158"/>
      <c r="B781" s="156"/>
      <c r="C781" s="156"/>
      <c r="D781" s="156"/>
      <c r="E781" s="156"/>
      <c r="F781" s="156"/>
      <c r="G781" s="156"/>
      <c r="H781" s="156"/>
      <c r="I781" s="156"/>
      <c r="J781" s="157"/>
    </row>
    <row r="782" spans="1:10" ht="12.75" customHeight="1">
      <c r="A782" s="158"/>
      <c r="B782" s="156"/>
      <c r="C782" s="156"/>
      <c r="D782" s="156"/>
      <c r="E782" s="156"/>
      <c r="F782" s="156"/>
      <c r="G782" s="156"/>
      <c r="H782" s="156"/>
      <c r="I782" s="156"/>
      <c r="J782" s="157"/>
    </row>
    <row r="783" spans="1:10" ht="12.75" customHeight="1">
      <c r="A783" s="158"/>
      <c r="B783" s="156"/>
      <c r="C783" s="156"/>
      <c r="D783" s="156"/>
      <c r="E783" s="156"/>
      <c r="F783" s="156"/>
      <c r="G783" s="156"/>
      <c r="H783" s="156"/>
      <c r="I783" s="156"/>
      <c r="J783" s="157"/>
    </row>
    <row r="784" spans="1:10" ht="12.75" customHeight="1">
      <c r="A784" s="158"/>
      <c r="B784" s="156"/>
      <c r="C784" s="156"/>
      <c r="D784" s="156"/>
      <c r="E784" s="156"/>
      <c r="F784" s="156"/>
      <c r="G784" s="156"/>
      <c r="H784" s="156"/>
      <c r="I784" s="156"/>
      <c r="J784" s="157"/>
    </row>
    <row r="785" spans="1:10" ht="12.75" customHeight="1">
      <c r="A785" s="158"/>
      <c r="B785" s="156"/>
      <c r="C785" s="156"/>
      <c r="D785" s="156"/>
      <c r="E785" s="156"/>
      <c r="F785" s="156"/>
      <c r="G785" s="156"/>
      <c r="H785" s="156"/>
      <c r="I785" s="156"/>
      <c r="J785" s="157"/>
    </row>
    <row r="786" spans="1:10" ht="12.75" customHeight="1">
      <c r="A786" s="158"/>
      <c r="B786" s="156"/>
      <c r="C786" s="156"/>
      <c r="D786" s="156"/>
      <c r="E786" s="156"/>
      <c r="F786" s="156"/>
      <c r="G786" s="156"/>
      <c r="H786" s="156"/>
      <c r="I786" s="156"/>
      <c r="J786" s="157"/>
    </row>
    <row r="787" spans="1:10" ht="12.75" customHeight="1">
      <c r="A787" s="158"/>
      <c r="B787" s="156"/>
      <c r="C787" s="156"/>
      <c r="D787" s="156"/>
      <c r="E787" s="156"/>
      <c r="F787" s="156"/>
      <c r="G787" s="156"/>
      <c r="H787" s="156"/>
      <c r="I787" s="156"/>
      <c r="J787" s="157"/>
    </row>
    <row r="788" spans="1:10" ht="12.75" customHeight="1">
      <c r="A788" s="158"/>
      <c r="B788" s="156"/>
      <c r="C788" s="156"/>
      <c r="D788" s="156"/>
      <c r="E788" s="156"/>
      <c r="F788" s="156"/>
      <c r="G788" s="156"/>
      <c r="H788" s="156"/>
      <c r="I788" s="156"/>
      <c r="J788" s="157"/>
    </row>
    <row r="789" spans="1:10" ht="12.75" customHeight="1">
      <c r="A789" s="158"/>
      <c r="B789" s="156"/>
      <c r="C789" s="156"/>
      <c r="D789" s="156"/>
      <c r="E789" s="156"/>
      <c r="F789" s="156"/>
      <c r="G789" s="156"/>
      <c r="H789" s="156"/>
      <c r="I789" s="156"/>
      <c r="J789" s="157"/>
    </row>
    <row r="790" spans="1:10" ht="12.75" customHeight="1">
      <c r="A790" s="158"/>
      <c r="B790" s="156"/>
      <c r="C790" s="156"/>
      <c r="D790" s="156"/>
      <c r="E790" s="156"/>
      <c r="F790" s="156"/>
      <c r="G790" s="156"/>
      <c r="H790" s="156"/>
      <c r="I790" s="156"/>
      <c r="J790" s="157"/>
    </row>
    <row r="791" spans="1:10" ht="12.75" customHeight="1">
      <c r="A791" s="158"/>
      <c r="B791" s="156"/>
      <c r="C791" s="156"/>
      <c r="D791" s="156"/>
      <c r="E791" s="156"/>
      <c r="F791" s="156"/>
      <c r="G791" s="156"/>
      <c r="H791" s="156"/>
      <c r="I791" s="156"/>
      <c r="J791" s="157"/>
    </row>
    <row r="792" spans="1:10" ht="12.75" customHeight="1">
      <c r="A792" s="158"/>
      <c r="B792" s="156"/>
      <c r="C792" s="156"/>
      <c r="D792" s="156"/>
      <c r="E792" s="156"/>
      <c r="F792" s="156"/>
      <c r="G792" s="156"/>
      <c r="H792" s="156"/>
      <c r="I792" s="156"/>
      <c r="J792" s="157"/>
    </row>
    <row r="793" spans="1:10" ht="12.75" customHeight="1">
      <c r="A793" s="158"/>
      <c r="B793" s="156"/>
      <c r="C793" s="156"/>
      <c r="D793" s="156"/>
      <c r="E793" s="156"/>
      <c r="F793" s="156"/>
      <c r="G793" s="156"/>
      <c r="H793" s="156"/>
      <c r="I793" s="156"/>
      <c r="J793" s="157"/>
    </row>
    <row r="794" spans="1:10" ht="12.75" customHeight="1">
      <c r="A794" s="158"/>
      <c r="B794" s="156"/>
      <c r="C794" s="156"/>
      <c r="D794" s="156"/>
      <c r="E794" s="156"/>
      <c r="F794" s="156"/>
      <c r="G794" s="156"/>
      <c r="H794" s="156"/>
      <c r="I794" s="156"/>
      <c r="J794" s="157"/>
    </row>
    <row r="795" spans="1:10" ht="12.75" customHeight="1">
      <c r="A795" s="158"/>
      <c r="B795" s="156"/>
      <c r="C795" s="156"/>
      <c r="D795" s="156"/>
      <c r="E795" s="156"/>
      <c r="F795" s="156"/>
      <c r="G795" s="156"/>
      <c r="H795" s="156"/>
      <c r="I795" s="156"/>
      <c r="J795" s="157"/>
    </row>
    <row r="796" spans="1:10" ht="12.75" customHeight="1">
      <c r="A796" s="158"/>
      <c r="B796" s="156"/>
      <c r="C796" s="156"/>
      <c r="D796" s="156"/>
      <c r="E796" s="156"/>
      <c r="F796" s="156"/>
      <c r="G796" s="156"/>
      <c r="H796" s="156"/>
      <c r="I796" s="156"/>
      <c r="J796" s="157"/>
    </row>
    <row r="797" spans="1:10" ht="12.75" customHeight="1">
      <c r="A797" s="158"/>
      <c r="B797" s="156"/>
      <c r="C797" s="156"/>
      <c r="D797" s="156"/>
      <c r="E797" s="156"/>
      <c r="F797" s="156"/>
      <c r="G797" s="156"/>
      <c r="H797" s="156"/>
      <c r="I797" s="156"/>
      <c r="J797" s="157"/>
    </row>
    <row r="798" spans="1:10" ht="12.75" customHeight="1">
      <c r="A798" s="158"/>
      <c r="B798" s="156"/>
      <c r="C798" s="156"/>
      <c r="D798" s="156"/>
      <c r="E798" s="156"/>
      <c r="F798" s="156"/>
      <c r="G798" s="156"/>
      <c r="H798" s="156"/>
      <c r="I798" s="156"/>
      <c r="J798" s="157"/>
    </row>
    <row r="799" spans="1:10" ht="12.75" customHeight="1">
      <c r="A799" s="158"/>
      <c r="B799" s="156"/>
      <c r="C799" s="156"/>
      <c r="D799" s="156"/>
      <c r="E799" s="156"/>
      <c r="F799" s="156"/>
      <c r="G799" s="156"/>
      <c r="H799" s="156"/>
      <c r="I799" s="156"/>
      <c r="J799" s="157"/>
    </row>
    <row r="800" spans="1:10" ht="12.75" customHeight="1">
      <c r="A800" s="158"/>
      <c r="B800" s="156"/>
      <c r="C800" s="156"/>
      <c r="D800" s="156"/>
      <c r="E800" s="156"/>
      <c r="F800" s="156"/>
      <c r="G800" s="156"/>
      <c r="H800" s="156"/>
      <c r="I800" s="156"/>
      <c r="J800" s="157"/>
    </row>
    <row r="801" spans="1:10" ht="12.75" customHeight="1">
      <c r="A801" s="158"/>
      <c r="B801" s="156"/>
      <c r="C801" s="156"/>
      <c r="D801" s="156"/>
      <c r="E801" s="156"/>
      <c r="F801" s="156"/>
      <c r="G801" s="156"/>
      <c r="H801" s="156"/>
      <c r="I801" s="156"/>
      <c r="J801" s="157"/>
    </row>
    <row r="802" spans="1:10" ht="12.75" customHeight="1">
      <c r="A802" s="158"/>
      <c r="B802" s="156"/>
      <c r="C802" s="156"/>
      <c r="D802" s="156"/>
      <c r="E802" s="156"/>
      <c r="F802" s="156"/>
      <c r="G802" s="156"/>
      <c r="H802" s="156"/>
      <c r="I802" s="156"/>
      <c r="J802" s="157"/>
    </row>
    <row r="803" spans="1:10" ht="12.75" customHeight="1">
      <c r="A803" s="158"/>
      <c r="B803" s="156"/>
      <c r="C803" s="156"/>
      <c r="D803" s="156"/>
      <c r="E803" s="156"/>
      <c r="F803" s="156"/>
      <c r="G803" s="156"/>
      <c r="H803" s="156"/>
      <c r="I803" s="156"/>
      <c r="J803" s="157"/>
    </row>
    <row r="804" spans="1:10" ht="12.75" customHeight="1">
      <c r="A804" s="158"/>
      <c r="B804" s="156"/>
      <c r="C804" s="156"/>
      <c r="D804" s="156"/>
      <c r="E804" s="156"/>
      <c r="F804" s="156"/>
      <c r="G804" s="156"/>
      <c r="H804" s="156"/>
      <c r="I804" s="156"/>
      <c r="J804" s="157"/>
    </row>
    <row r="805" spans="1:10" ht="12.75" customHeight="1">
      <c r="A805" s="158"/>
      <c r="B805" s="156"/>
      <c r="C805" s="156"/>
      <c r="D805" s="156"/>
      <c r="E805" s="156"/>
      <c r="F805" s="156"/>
      <c r="G805" s="156"/>
      <c r="H805" s="156"/>
      <c r="I805" s="156"/>
      <c r="J805" s="157"/>
    </row>
    <row r="806" spans="1:10" ht="12.75" customHeight="1">
      <c r="A806" s="158"/>
      <c r="B806" s="156"/>
      <c r="C806" s="156"/>
      <c r="D806" s="156"/>
      <c r="E806" s="156"/>
      <c r="F806" s="156"/>
      <c r="G806" s="156"/>
      <c r="H806" s="156"/>
      <c r="I806" s="156"/>
      <c r="J806" s="157"/>
    </row>
    <row r="807" spans="1:10" ht="12.75" customHeight="1">
      <c r="A807" s="199"/>
      <c r="B807" s="167"/>
      <c r="C807" s="167"/>
      <c r="D807" s="167"/>
      <c r="E807" s="167"/>
      <c r="F807" s="167"/>
      <c r="G807" s="167"/>
      <c r="H807" s="167"/>
      <c r="I807" s="167"/>
      <c r="J807" s="168"/>
    </row>
    <row r="808" spans="1:10" ht="12.75" customHeight="1"/>
    <row r="809" spans="1:10" ht="12.75" customHeight="1">
      <c r="A809" s="207" t="s">
        <v>65</v>
      </c>
      <c r="B809" s="152"/>
      <c r="C809" s="152"/>
      <c r="D809" s="152"/>
      <c r="E809" s="152"/>
      <c r="F809" s="152"/>
      <c r="G809" s="181"/>
      <c r="H809" s="208" t="str">
        <f>'CONTACT INFORMATION'!$A$24</f>
        <v>Humboldt</v>
      </c>
      <c r="I809" s="152"/>
      <c r="J809" s="153"/>
    </row>
    <row r="810" spans="1:10" ht="7.5" customHeight="1">
      <c r="A810" s="109"/>
      <c r="B810" s="22"/>
      <c r="C810" s="22"/>
      <c r="D810" s="22"/>
      <c r="E810" s="22"/>
      <c r="F810" s="22"/>
      <c r="G810" s="22"/>
      <c r="H810" s="22"/>
      <c r="I810" s="22"/>
      <c r="J810" s="110"/>
    </row>
    <row r="811" spans="1:10" ht="12.75" customHeight="1">
      <c r="A811" s="251" t="s">
        <v>181</v>
      </c>
      <c r="B811" s="152"/>
      <c r="C811" s="152"/>
      <c r="D811" s="152"/>
      <c r="E811" s="152"/>
      <c r="F811" s="152"/>
      <c r="G811" s="152"/>
      <c r="H811" s="152"/>
      <c r="I811" s="152"/>
      <c r="J811" s="153"/>
    </row>
    <row r="812" spans="1:10" ht="12.75" customHeight="1">
      <c r="A812" s="252" t="s">
        <v>140</v>
      </c>
      <c r="B812" s="163"/>
      <c r="C812" s="163"/>
      <c r="D812" s="164"/>
      <c r="E812" s="269"/>
      <c r="F812" s="197"/>
      <c r="G812" s="197"/>
      <c r="H812" s="197"/>
      <c r="I812" s="197"/>
      <c r="J812" s="198"/>
    </row>
    <row r="813" spans="1:10" ht="12.75" customHeight="1">
      <c r="A813" s="254" t="s">
        <v>161</v>
      </c>
      <c r="B813" s="149"/>
      <c r="C813" s="149"/>
      <c r="D813" s="150"/>
      <c r="E813" s="199"/>
      <c r="F813" s="167"/>
      <c r="G813" s="167"/>
      <c r="H813" s="167"/>
      <c r="I813" s="167"/>
      <c r="J813" s="168"/>
    </row>
    <row r="814" spans="1:10" ht="12.75" customHeight="1">
      <c r="A814" s="259" t="s">
        <v>182</v>
      </c>
      <c r="B814" s="152"/>
      <c r="C814" s="152"/>
      <c r="D814" s="153"/>
      <c r="E814" s="221"/>
      <c r="F814" s="152"/>
      <c r="G814" s="152"/>
      <c r="H814" s="152"/>
      <c r="I814" s="152"/>
      <c r="J814" s="153"/>
    </row>
    <row r="815" spans="1:10" ht="27" customHeight="1">
      <c r="A815" s="108"/>
      <c r="B815" s="104"/>
      <c r="C815" s="104"/>
      <c r="D815" s="104"/>
      <c r="E815" s="255" t="s">
        <v>143</v>
      </c>
      <c r="F815" s="167"/>
      <c r="G815" s="255" t="s">
        <v>144</v>
      </c>
      <c r="H815" s="167"/>
      <c r="I815" s="256" t="s">
        <v>145</v>
      </c>
      <c r="J815" s="168"/>
    </row>
    <row r="816" spans="1:10" ht="12.75" customHeight="1">
      <c r="A816" s="220" t="s">
        <v>146</v>
      </c>
      <c r="B816" s="152"/>
      <c r="C816" s="152"/>
      <c r="D816" s="153"/>
      <c r="E816" s="239"/>
      <c r="F816" s="153"/>
      <c r="G816" s="239"/>
      <c r="H816" s="153"/>
      <c r="I816" s="240"/>
      <c r="J816" s="153"/>
    </row>
    <row r="817" spans="1:10" ht="12.75" customHeight="1">
      <c r="A817" s="241" t="s">
        <v>147</v>
      </c>
      <c r="B817" s="152"/>
      <c r="C817" s="152"/>
      <c r="D817" s="153"/>
      <c r="E817" s="264"/>
      <c r="F817" s="153"/>
      <c r="G817" s="257"/>
      <c r="H817" s="153"/>
      <c r="I817" s="258"/>
      <c r="J817" s="153"/>
    </row>
    <row r="818" spans="1:10" ht="12.75" customHeight="1">
      <c r="A818" s="220" t="s">
        <v>148</v>
      </c>
      <c r="B818" s="152"/>
      <c r="C818" s="152"/>
      <c r="D818" s="153"/>
      <c r="E818" s="239"/>
      <c r="F818" s="153"/>
      <c r="G818" s="239"/>
      <c r="H818" s="153"/>
      <c r="I818" s="240"/>
      <c r="J818" s="153"/>
    </row>
    <row r="819" spans="1:10" ht="12.75" customHeight="1">
      <c r="A819" s="241" t="s">
        <v>149</v>
      </c>
      <c r="B819" s="152"/>
      <c r="C819" s="152"/>
      <c r="D819" s="153"/>
      <c r="E819" s="264"/>
      <c r="F819" s="153"/>
      <c r="G819" s="257"/>
      <c r="H819" s="153"/>
      <c r="I819" s="258"/>
      <c r="J819" s="153"/>
    </row>
    <row r="820" spans="1:10" ht="12.75" customHeight="1">
      <c r="A820" s="220" t="s">
        <v>150</v>
      </c>
      <c r="B820" s="152"/>
      <c r="C820" s="152"/>
      <c r="D820" s="153"/>
      <c r="E820" s="239"/>
      <c r="F820" s="153"/>
      <c r="G820" s="239"/>
      <c r="H820" s="153"/>
      <c r="I820" s="240"/>
      <c r="J820" s="153"/>
    </row>
    <row r="821" spans="1:10" ht="12.75" customHeight="1">
      <c r="A821" s="241" t="s">
        <v>151</v>
      </c>
      <c r="B821" s="152"/>
      <c r="C821" s="152"/>
      <c r="D821" s="153"/>
      <c r="E821" s="264"/>
      <c r="F821" s="153"/>
      <c r="G821" s="257"/>
      <c r="H821" s="153"/>
      <c r="I821" s="258"/>
      <c r="J821" s="153"/>
    </row>
    <row r="822" spans="1:10" ht="12.75" customHeight="1">
      <c r="A822" s="220" t="s">
        <v>152</v>
      </c>
      <c r="B822" s="152"/>
      <c r="C822" s="152"/>
      <c r="D822" s="153"/>
      <c r="E822" s="262"/>
      <c r="F822" s="153"/>
      <c r="G822" s="262"/>
      <c r="H822" s="153"/>
      <c r="I822" s="263"/>
      <c r="J822" s="153"/>
    </row>
    <row r="823" spans="1:10" ht="12.75" customHeight="1">
      <c r="A823" s="265"/>
      <c r="B823" s="152"/>
      <c r="C823" s="152"/>
      <c r="D823" s="153"/>
      <c r="E823" s="264"/>
      <c r="F823" s="153"/>
      <c r="G823" s="257"/>
      <c r="H823" s="153"/>
      <c r="I823" s="257"/>
      <c r="J823" s="153"/>
    </row>
    <row r="824" spans="1:10" ht="12.75" customHeight="1">
      <c r="A824" s="265"/>
      <c r="B824" s="152"/>
      <c r="C824" s="152"/>
      <c r="D824" s="153"/>
      <c r="E824" s="264"/>
      <c r="F824" s="153"/>
      <c r="G824" s="257"/>
      <c r="H824" s="153"/>
      <c r="I824" s="257"/>
      <c r="J824" s="153"/>
    </row>
    <row r="825" spans="1:10" ht="12.75" customHeight="1">
      <c r="A825" s="265"/>
      <c r="B825" s="152"/>
      <c r="C825" s="152"/>
      <c r="D825" s="153"/>
      <c r="E825" s="264"/>
      <c r="F825" s="153"/>
      <c r="G825" s="257"/>
      <c r="H825" s="153"/>
      <c r="I825" s="257"/>
      <c r="J825" s="153"/>
    </row>
    <row r="826" spans="1:10" ht="12.75" customHeight="1">
      <c r="A826" s="222" t="s">
        <v>153</v>
      </c>
      <c r="B826" s="152"/>
      <c r="C826" s="152"/>
      <c r="D826" s="153"/>
      <c r="E826" s="266">
        <f>SUM(E816:E825)</f>
        <v>0</v>
      </c>
      <c r="F826" s="153"/>
      <c r="G826" s="266">
        <f>SUM(G816:G825)</f>
        <v>0</v>
      </c>
      <c r="H826" s="153"/>
      <c r="I826" s="266">
        <f>SUM(I816:I825)</f>
        <v>0</v>
      </c>
      <c r="J826" s="153"/>
    </row>
    <row r="827" spans="1:10" ht="12.75" customHeight="1">
      <c r="A827" s="267" t="s">
        <v>154</v>
      </c>
      <c r="B827" s="163"/>
      <c r="C827" s="163"/>
      <c r="D827" s="163"/>
      <c r="E827" s="163"/>
      <c r="F827" s="163"/>
      <c r="G827" s="163"/>
      <c r="H827" s="163"/>
      <c r="I827" s="163"/>
      <c r="J827" s="164"/>
    </row>
    <row r="828" spans="1:10" ht="12.75" customHeight="1">
      <c r="A828" s="268" t="s">
        <v>155</v>
      </c>
      <c r="B828" s="171"/>
      <c r="C828" s="171"/>
      <c r="D828" s="171"/>
      <c r="E828" s="171"/>
      <c r="F828" s="171"/>
      <c r="G828" s="171"/>
      <c r="H828" s="171"/>
      <c r="I828" s="171"/>
      <c r="J828" s="172"/>
    </row>
    <row r="829" spans="1:10" ht="12.75" customHeight="1">
      <c r="A829" s="268" t="s">
        <v>156</v>
      </c>
      <c r="B829" s="171"/>
      <c r="C829" s="171"/>
      <c r="D829" s="171"/>
      <c r="E829" s="171"/>
      <c r="F829" s="171"/>
      <c r="G829" s="171"/>
      <c r="H829" s="171"/>
      <c r="I829" s="171"/>
      <c r="J829" s="172"/>
    </row>
    <row r="830" spans="1:10" ht="12.75" customHeight="1">
      <c r="A830" s="260" t="s">
        <v>157</v>
      </c>
      <c r="B830" s="149"/>
      <c r="C830" s="149"/>
      <c r="D830" s="149"/>
      <c r="E830" s="149"/>
      <c r="F830" s="149"/>
      <c r="G830" s="149"/>
      <c r="H830" s="149"/>
      <c r="I830" s="149"/>
      <c r="J830" s="150"/>
    </row>
    <row r="831" spans="1:10" ht="12.75" customHeight="1">
      <c r="A831" s="196"/>
      <c r="B831" s="197"/>
      <c r="C831" s="197"/>
      <c r="D831" s="197"/>
      <c r="E831" s="197"/>
      <c r="F831" s="197"/>
      <c r="G831" s="197"/>
      <c r="H831" s="197"/>
      <c r="I831" s="197"/>
      <c r="J831" s="198"/>
    </row>
    <row r="832" spans="1:10" ht="12.75" customHeight="1">
      <c r="A832" s="158"/>
      <c r="B832" s="156"/>
      <c r="C832" s="156"/>
      <c r="D832" s="156"/>
      <c r="E832" s="156"/>
      <c r="F832" s="156"/>
      <c r="G832" s="156"/>
      <c r="H832" s="156"/>
      <c r="I832" s="156"/>
      <c r="J832" s="157"/>
    </row>
    <row r="833" spans="1:10" ht="12.75" customHeight="1">
      <c r="A833" s="158"/>
      <c r="B833" s="156"/>
      <c r="C833" s="156"/>
      <c r="D833" s="156"/>
      <c r="E833" s="156"/>
      <c r="F833" s="156"/>
      <c r="G833" s="156"/>
      <c r="H833" s="156"/>
      <c r="I833" s="156"/>
      <c r="J833" s="157"/>
    </row>
    <row r="834" spans="1:10" ht="12.75" customHeight="1">
      <c r="A834" s="158"/>
      <c r="B834" s="156"/>
      <c r="C834" s="156"/>
      <c r="D834" s="156"/>
      <c r="E834" s="156"/>
      <c r="F834" s="156"/>
      <c r="G834" s="156"/>
      <c r="H834" s="156"/>
      <c r="I834" s="156"/>
      <c r="J834" s="157"/>
    </row>
    <row r="835" spans="1:10" ht="12.75" customHeight="1">
      <c r="A835" s="158"/>
      <c r="B835" s="156"/>
      <c r="C835" s="156"/>
      <c r="D835" s="156"/>
      <c r="E835" s="156"/>
      <c r="F835" s="156"/>
      <c r="G835" s="156"/>
      <c r="H835" s="156"/>
      <c r="I835" s="156"/>
      <c r="J835" s="157"/>
    </row>
    <row r="836" spans="1:10" ht="12.75" customHeight="1">
      <c r="A836" s="158"/>
      <c r="B836" s="156"/>
      <c r="C836" s="156"/>
      <c r="D836" s="156"/>
      <c r="E836" s="156"/>
      <c r="F836" s="156"/>
      <c r="G836" s="156"/>
      <c r="H836" s="156"/>
      <c r="I836" s="156"/>
      <c r="J836" s="157"/>
    </row>
    <row r="837" spans="1:10" ht="12.75" customHeight="1">
      <c r="A837" s="158"/>
      <c r="B837" s="156"/>
      <c r="C837" s="156"/>
      <c r="D837" s="156"/>
      <c r="E837" s="156"/>
      <c r="F837" s="156"/>
      <c r="G837" s="156"/>
      <c r="H837" s="156"/>
      <c r="I837" s="156"/>
      <c r="J837" s="157"/>
    </row>
    <row r="838" spans="1:10" ht="12.75" customHeight="1">
      <c r="A838" s="158"/>
      <c r="B838" s="156"/>
      <c r="C838" s="156"/>
      <c r="D838" s="156"/>
      <c r="E838" s="156"/>
      <c r="F838" s="156"/>
      <c r="G838" s="156"/>
      <c r="H838" s="156"/>
      <c r="I838" s="156"/>
      <c r="J838" s="157"/>
    </row>
    <row r="839" spans="1:10" ht="12.75" customHeight="1">
      <c r="A839" s="158"/>
      <c r="B839" s="156"/>
      <c r="C839" s="156"/>
      <c r="D839" s="156"/>
      <c r="E839" s="156"/>
      <c r="F839" s="156"/>
      <c r="G839" s="156"/>
      <c r="H839" s="156"/>
      <c r="I839" s="156"/>
      <c r="J839" s="157"/>
    </row>
    <row r="840" spans="1:10" ht="12.75" customHeight="1">
      <c r="A840" s="158"/>
      <c r="B840" s="156"/>
      <c r="C840" s="156"/>
      <c r="D840" s="156"/>
      <c r="E840" s="156"/>
      <c r="F840" s="156"/>
      <c r="G840" s="156"/>
      <c r="H840" s="156"/>
      <c r="I840" s="156"/>
      <c r="J840" s="157"/>
    </row>
    <row r="841" spans="1:10" ht="12.75" customHeight="1">
      <c r="A841" s="158"/>
      <c r="B841" s="156"/>
      <c r="C841" s="156"/>
      <c r="D841" s="156"/>
      <c r="E841" s="156"/>
      <c r="F841" s="156"/>
      <c r="G841" s="156"/>
      <c r="H841" s="156"/>
      <c r="I841" s="156"/>
      <c r="J841" s="157"/>
    </row>
    <row r="842" spans="1:10" ht="12.75" customHeight="1">
      <c r="A842" s="158"/>
      <c r="B842" s="156"/>
      <c r="C842" s="156"/>
      <c r="D842" s="156"/>
      <c r="E842" s="156"/>
      <c r="F842" s="156"/>
      <c r="G842" s="156"/>
      <c r="H842" s="156"/>
      <c r="I842" s="156"/>
      <c r="J842" s="157"/>
    </row>
    <row r="843" spans="1:10" ht="12.75" customHeight="1">
      <c r="A843" s="158"/>
      <c r="B843" s="156"/>
      <c r="C843" s="156"/>
      <c r="D843" s="156"/>
      <c r="E843" s="156"/>
      <c r="F843" s="156"/>
      <c r="G843" s="156"/>
      <c r="H843" s="156"/>
      <c r="I843" s="156"/>
      <c r="J843" s="157"/>
    </row>
    <row r="844" spans="1:10" ht="12.75" customHeight="1">
      <c r="A844" s="158"/>
      <c r="B844" s="156"/>
      <c r="C844" s="156"/>
      <c r="D844" s="156"/>
      <c r="E844" s="156"/>
      <c r="F844" s="156"/>
      <c r="G844" s="156"/>
      <c r="H844" s="156"/>
      <c r="I844" s="156"/>
      <c r="J844" s="157"/>
    </row>
    <row r="845" spans="1:10" ht="12.75" customHeight="1">
      <c r="A845" s="158"/>
      <c r="B845" s="156"/>
      <c r="C845" s="156"/>
      <c r="D845" s="156"/>
      <c r="E845" s="156"/>
      <c r="F845" s="156"/>
      <c r="G845" s="156"/>
      <c r="H845" s="156"/>
      <c r="I845" s="156"/>
      <c r="J845" s="157"/>
    </row>
    <row r="846" spans="1:10" ht="12.75" customHeight="1">
      <c r="A846" s="158"/>
      <c r="B846" s="156"/>
      <c r="C846" s="156"/>
      <c r="D846" s="156"/>
      <c r="E846" s="156"/>
      <c r="F846" s="156"/>
      <c r="G846" s="156"/>
      <c r="H846" s="156"/>
      <c r="I846" s="156"/>
      <c r="J846" s="157"/>
    </row>
    <row r="847" spans="1:10" ht="12.75" customHeight="1">
      <c r="A847" s="158"/>
      <c r="B847" s="156"/>
      <c r="C847" s="156"/>
      <c r="D847" s="156"/>
      <c r="E847" s="156"/>
      <c r="F847" s="156"/>
      <c r="G847" s="156"/>
      <c r="H847" s="156"/>
      <c r="I847" s="156"/>
      <c r="J847" s="157"/>
    </row>
    <row r="848" spans="1:10" ht="12.75" customHeight="1">
      <c r="A848" s="158"/>
      <c r="B848" s="156"/>
      <c r="C848" s="156"/>
      <c r="D848" s="156"/>
      <c r="E848" s="156"/>
      <c r="F848" s="156"/>
      <c r="G848" s="156"/>
      <c r="H848" s="156"/>
      <c r="I848" s="156"/>
      <c r="J848" s="157"/>
    </row>
    <row r="849" spans="1:10" ht="12.75" customHeight="1">
      <c r="A849" s="158"/>
      <c r="B849" s="156"/>
      <c r="C849" s="156"/>
      <c r="D849" s="156"/>
      <c r="E849" s="156"/>
      <c r="F849" s="156"/>
      <c r="G849" s="156"/>
      <c r="H849" s="156"/>
      <c r="I849" s="156"/>
      <c r="J849" s="157"/>
    </row>
    <row r="850" spans="1:10" ht="12.75" customHeight="1">
      <c r="A850" s="158"/>
      <c r="B850" s="156"/>
      <c r="C850" s="156"/>
      <c r="D850" s="156"/>
      <c r="E850" s="156"/>
      <c r="F850" s="156"/>
      <c r="G850" s="156"/>
      <c r="H850" s="156"/>
      <c r="I850" s="156"/>
      <c r="J850" s="157"/>
    </row>
    <row r="851" spans="1:10" ht="12.75" customHeight="1">
      <c r="A851" s="158"/>
      <c r="B851" s="156"/>
      <c r="C851" s="156"/>
      <c r="D851" s="156"/>
      <c r="E851" s="156"/>
      <c r="F851" s="156"/>
      <c r="G851" s="156"/>
      <c r="H851" s="156"/>
      <c r="I851" s="156"/>
      <c r="J851" s="157"/>
    </row>
    <row r="852" spans="1:10" ht="12.75" customHeight="1">
      <c r="A852" s="158"/>
      <c r="B852" s="156"/>
      <c r="C852" s="156"/>
      <c r="D852" s="156"/>
      <c r="E852" s="156"/>
      <c r="F852" s="156"/>
      <c r="G852" s="156"/>
      <c r="H852" s="156"/>
      <c r="I852" s="156"/>
      <c r="J852" s="157"/>
    </row>
    <row r="853" spans="1:10" ht="12.75" customHeight="1">
      <c r="A853" s="158"/>
      <c r="B853" s="156"/>
      <c r="C853" s="156"/>
      <c r="D853" s="156"/>
      <c r="E853" s="156"/>
      <c r="F853" s="156"/>
      <c r="G853" s="156"/>
      <c r="H853" s="156"/>
      <c r="I853" s="156"/>
      <c r="J853" s="157"/>
    </row>
    <row r="854" spans="1:10" ht="12.75" customHeight="1">
      <c r="A854" s="158"/>
      <c r="B854" s="156"/>
      <c r="C854" s="156"/>
      <c r="D854" s="156"/>
      <c r="E854" s="156"/>
      <c r="F854" s="156"/>
      <c r="G854" s="156"/>
      <c r="H854" s="156"/>
      <c r="I854" s="156"/>
      <c r="J854" s="157"/>
    </row>
    <row r="855" spans="1:10" ht="12.75" customHeight="1">
      <c r="A855" s="158"/>
      <c r="B855" s="156"/>
      <c r="C855" s="156"/>
      <c r="D855" s="156"/>
      <c r="E855" s="156"/>
      <c r="F855" s="156"/>
      <c r="G855" s="156"/>
      <c r="H855" s="156"/>
      <c r="I855" s="156"/>
      <c r="J855" s="157"/>
    </row>
    <row r="856" spans="1:10" ht="12.75" customHeight="1">
      <c r="A856" s="158"/>
      <c r="B856" s="156"/>
      <c r="C856" s="156"/>
      <c r="D856" s="156"/>
      <c r="E856" s="156"/>
      <c r="F856" s="156"/>
      <c r="G856" s="156"/>
      <c r="H856" s="156"/>
      <c r="I856" s="156"/>
      <c r="J856" s="157"/>
    </row>
    <row r="857" spans="1:10" ht="12.75" customHeight="1">
      <c r="A857" s="158"/>
      <c r="B857" s="156"/>
      <c r="C857" s="156"/>
      <c r="D857" s="156"/>
      <c r="E857" s="156"/>
      <c r="F857" s="156"/>
      <c r="G857" s="156"/>
      <c r="H857" s="156"/>
      <c r="I857" s="156"/>
      <c r="J857" s="157"/>
    </row>
    <row r="858" spans="1:10" ht="12.75" customHeight="1">
      <c r="A858" s="158"/>
      <c r="B858" s="156"/>
      <c r="C858" s="156"/>
      <c r="D858" s="156"/>
      <c r="E858" s="156"/>
      <c r="F858" s="156"/>
      <c r="G858" s="156"/>
      <c r="H858" s="156"/>
      <c r="I858" s="156"/>
      <c r="J858" s="157"/>
    </row>
    <row r="859" spans="1:10" ht="12.75" customHeight="1">
      <c r="A859" s="158"/>
      <c r="B859" s="156"/>
      <c r="C859" s="156"/>
      <c r="D859" s="156"/>
      <c r="E859" s="156"/>
      <c r="F859" s="156"/>
      <c r="G859" s="156"/>
      <c r="H859" s="156"/>
      <c r="I859" s="156"/>
      <c r="J859" s="157"/>
    </row>
    <row r="860" spans="1:10" ht="12.75" customHeight="1">
      <c r="A860" s="158"/>
      <c r="B860" s="156"/>
      <c r="C860" s="156"/>
      <c r="D860" s="156"/>
      <c r="E860" s="156"/>
      <c r="F860" s="156"/>
      <c r="G860" s="156"/>
      <c r="H860" s="156"/>
      <c r="I860" s="156"/>
      <c r="J860" s="157"/>
    </row>
    <row r="861" spans="1:10" ht="12.75" customHeight="1">
      <c r="A861" s="158"/>
      <c r="B861" s="156"/>
      <c r="C861" s="156"/>
      <c r="D861" s="156"/>
      <c r="E861" s="156"/>
      <c r="F861" s="156"/>
      <c r="G861" s="156"/>
      <c r="H861" s="156"/>
      <c r="I861" s="156"/>
      <c r="J861" s="157"/>
    </row>
    <row r="862" spans="1:10" ht="12.75" customHeight="1">
      <c r="A862" s="158"/>
      <c r="B862" s="156"/>
      <c r="C862" s="156"/>
      <c r="D862" s="156"/>
      <c r="E862" s="156"/>
      <c r="F862" s="156"/>
      <c r="G862" s="156"/>
      <c r="H862" s="156"/>
      <c r="I862" s="156"/>
      <c r="J862" s="157"/>
    </row>
    <row r="863" spans="1:10" ht="12.75" customHeight="1">
      <c r="A863" s="158"/>
      <c r="B863" s="156"/>
      <c r="C863" s="156"/>
      <c r="D863" s="156"/>
      <c r="E863" s="156"/>
      <c r="F863" s="156"/>
      <c r="G863" s="156"/>
      <c r="H863" s="156"/>
      <c r="I863" s="156"/>
      <c r="J863" s="157"/>
    </row>
    <row r="864" spans="1:10" ht="12.75" customHeight="1">
      <c r="A864" s="158"/>
      <c r="B864" s="156"/>
      <c r="C864" s="156"/>
      <c r="D864" s="156"/>
      <c r="E864" s="156"/>
      <c r="F864" s="156"/>
      <c r="G864" s="156"/>
      <c r="H864" s="156"/>
      <c r="I864" s="156"/>
      <c r="J864" s="157"/>
    </row>
    <row r="865" spans="1:10" ht="12.75" customHeight="1">
      <c r="A865" s="199"/>
      <c r="B865" s="167"/>
      <c r="C865" s="167"/>
      <c r="D865" s="167"/>
      <c r="E865" s="167"/>
      <c r="F865" s="167"/>
      <c r="G865" s="167"/>
      <c r="H865" s="167"/>
      <c r="I865" s="167"/>
      <c r="J865" s="168"/>
    </row>
    <row r="866" spans="1:10" ht="12.75" customHeight="1"/>
    <row r="867" spans="1:10" ht="12.75" customHeight="1">
      <c r="A867" s="207" t="s">
        <v>65</v>
      </c>
      <c r="B867" s="152"/>
      <c r="C867" s="152"/>
      <c r="D867" s="152"/>
      <c r="E867" s="152"/>
      <c r="F867" s="152"/>
      <c r="G867" s="181"/>
      <c r="H867" s="208" t="str">
        <f>'CONTACT INFORMATION'!$A$24</f>
        <v>Humboldt</v>
      </c>
      <c r="I867" s="152"/>
      <c r="J867" s="153"/>
    </row>
    <row r="868" spans="1:10" ht="8.25" customHeight="1">
      <c r="A868" s="107"/>
      <c r="B868" s="107"/>
      <c r="C868" s="107"/>
      <c r="D868" s="107"/>
      <c r="E868" s="107"/>
      <c r="F868" s="107"/>
      <c r="G868" s="107"/>
      <c r="H868" s="107"/>
      <c r="I868" s="107"/>
      <c r="J868" s="107"/>
    </row>
    <row r="869" spans="1:10" ht="12.75" customHeight="1">
      <c r="A869" s="251" t="s">
        <v>183</v>
      </c>
      <c r="B869" s="152"/>
      <c r="C869" s="152"/>
      <c r="D869" s="152"/>
      <c r="E869" s="152"/>
      <c r="F869" s="152"/>
      <c r="G869" s="152"/>
      <c r="H869" s="152"/>
      <c r="I869" s="152"/>
      <c r="J869" s="153"/>
    </row>
    <row r="870" spans="1:10" ht="12.75" customHeight="1">
      <c r="A870" s="252" t="s">
        <v>140</v>
      </c>
      <c r="B870" s="163"/>
      <c r="C870" s="163"/>
      <c r="D870" s="164"/>
      <c r="E870" s="269"/>
      <c r="F870" s="197"/>
      <c r="G870" s="197"/>
      <c r="H870" s="197"/>
      <c r="I870" s="197"/>
      <c r="J870" s="198"/>
    </row>
    <row r="871" spans="1:10" ht="12.75" customHeight="1">
      <c r="A871" s="254" t="s">
        <v>161</v>
      </c>
      <c r="B871" s="149"/>
      <c r="C871" s="149"/>
      <c r="D871" s="150"/>
      <c r="E871" s="199"/>
      <c r="F871" s="167"/>
      <c r="G871" s="167"/>
      <c r="H871" s="167"/>
      <c r="I871" s="167"/>
      <c r="J871" s="168"/>
    </row>
    <row r="872" spans="1:10" ht="12.75" customHeight="1">
      <c r="A872" s="259" t="s">
        <v>184</v>
      </c>
      <c r="B872" s="152"/>
      <c r="C872" s="152"/>
      <c r="D872" s="153"/>
      <c r="E872" s="221"/>
      <c r="F872" s="152"/>
      <c r="G872" s="152"/>
      <c r="H872" s="152"/>
      <c r="I872" s="152"/>
      <c r="J872" s="153"/>
    </row>
    <row r="873" spans="1:10" ht="27" customHeight="1">
      <c r="A873" s="108"/>
      <c r="B873" s="104"/>
      <c r="C873" s="104"/>
      <c r="D873" s="104"/>
      <c r="E873" s="255" t="s">
        <v>143</v>
      </c>
      <c r="F873" s="167"/>
      <c r="G873" s="255" t="s">
        <v>144</v>
      </c>
      <c r="H873" s="167"/>
      <c r="I873" s="256" t="s">
        <v>145</v>
      </c>
      <c r="J873" s="168"/>
    </row>
    <row r="874" spans="1:10" ht="12.75" customHeight="1">
      <c r="A874" s="220" t="s">
        <v>146</v>
      </c>
      <c r="B874" s="152"/>
      <c r="C874" s="152"/>
      <c r="D874" s="153"/>
      <c r="E874" s="239"/>
      <c r="F874" s="153"/>
      <c r="G874" s="239"/>
      <c r="H874" s="153"/>
      <c r="I874" s="240"/>
      <c r="J874" s="153"/>
    </row>
    <row r="875" spans="1:10" ht="12.75" customHeight="1">
      <c r="A875" s="241" t="s">
        <v>147</v>
      </c>
      <c r="B875" s="152"/>
      <c r="C875" s="152"/>
      <c r="D875" s="153"/>
      <c r="E875" s="264"/>
      <c r="F875" s="153"/>
      <c r="G875" s="257"/>
      <c r="H875" s="153"/>
      <c r="I875" s="258"/>
      <c r="J875" s="153"/>
    </row>
    <row r="876" spans="1:10" ht="12.75" customHeight="1">
      <c r="A876" s="220" t="s">
        <v>148</v>
      </c>
      <c r="B876" s="152"/>
      <c r="C876" s="152"/>
      <c r="D876" s="153"/>
      <c r="E876" s="239"/>
      <c r="F876" s="153"/>
      <c r="G876" s="239"/>
      <c r="H876" s="153"/>
      <c r="I876" s="240"/>
      <c r="J876" s="153"/>
    </row>
    <row r="877" spans="1:10" ht="12.75" customHeight="1">
      <c r="A877" s="241" t="s">
        <v>149</v>
      </c>
      <c r="B877" s="152"/>
      <c r="C877" s="152"/>
      <c r="D877" s="153"/>
      <c r="E877" s="264"/>
      <c r="F877" s="153"/>
      <c r="G877" s="257"/>
      <c r="H877" s="153"/>
      <c r="I877" s="258"/>
      <c r="J877" s="153"/>
    </row>
    <row r="878" spans="1:10" ht="12.75" customHeight="1">
      <c r="A878" s="220" t="s">
        <v>150</v>
      </c>
      <c r="B878" s="152"/>
      <c r="C878" s="152"/>
      <c r="D878" s="153"/>
      <c r="E878" s="239"/>
      <c r="F878" s="153"/>
      <c r="G878" s="239"/>
      <c r="H878" s="153"/>
      <c r="I878" s="240"/>
      <c r="J878" s="153"/>
    </row>
    <row r="879" spans="1:10" ht="12.75" customHeight="1">
      <c r="A879" s="241" t="s">
        <v>151</v>
      </c>
      <c r="B879" s="152"/>
      <c r="C879" s="152"/>
      <c r="D879" s="153"/>
      <c r="E879" s="264"/>
      <c r="F879" s="153"/>
      <c r="G879" s="257"/>
      <c r="H879" s="153"/>
      <c r="I879" s="258"/>
      <c r="J879" s="153"/>
    </row>
    <row r="880" spans="1:10" ht="12.75" customHeight="1">
      <c r="A880" s="220" t="s">
        <v>152</v>
      </c>
      <c r="B880" s="152"/>
      <c r="C880" s="152"/>
      <c r="D880" s="153"/>
      <c r="E880" s="262"/>
      <c r="F880" s="153"/>
      <c r="G880" s="262"/>
      <c r="H880" s="153"/>
      <c r="I880" s="263"/>
      <c r="J880" s="153"/>
    </row>
    <row r="881" spans="1:10" ht="12.75" customHeight="1">
      <c r="A881" s="265"/>
      <c r="B881" s="152"/>
      <c r="C881" s="152"/>
      <c r="D881" s="153"/>
      <c r="E881" s="264"/>
      <c r="F881" s="153"/>
      <c r="G881" s="257"/>
      <c r="H881" s="153"/>
      <c r="I881" s="257"/>
      <c r="J881" s="153"/>
    </row>
    <row r="882" spans="1:10" ht="12.75" customHeight="1">
      <c r="A882" s="265"/>
      <c r="B882" s="152"/>
      <c r="C882" s="152"/>
      <c r="D882" s="153"/>
      <c r="E882" s="264"/>
      <c r="F882" s="153"/>
      <c r="G882" s="257"/>
      <c r="H882" s="153"/>
      <c r="I882" s="257"/>
      <c r="J882" s="153"/>
    </row>
    <row r="883" spans="1:10" ht="12.75" customHeight="1">
      <c r="A883" s="265"/>
      <c r="B883" s="152"/>
      <c r="C883" s="152"/>
      <c r="D883" s="153"/>
      <c r="E883" s="264"/>
      <c r="F883" s="153"/>
      <c r="G883" s="257"/>
      <c r="H883" s="153"/>
      <c r="I883" s="257"/>
      <c r="J883" s="153"/>
    </row>
    <row r="884" spans="1:10" ht="12.75" customHeight="1">
      <c r="A884" s="222" t="s">
        <v>153</v>
      </c>
      <c r="B884" s="152"/>
      <c r="C884" s="152"/>
      <c r="D884" s="153"/>
      <c r="E884" s="266">
        <f>SUM(E874:E883)</f>
        <v>0</v>
      </c>
      <c r="F884" s="153"/>
      <c r="G884" s="266">
        <f>SUM(G874:G883)</f>
        <v>0</v>
      </c>
      <c r="H884" s="153"/>
      <c r="I884" s="266">
        <f>SUM(I874:I883)</f>
        <v>0</v>
      </c>
      <c r="J884" s="153"/>
    </row>
    <row r="885" spans="1:10" ht="12.75" customHeight="1">
      <c r="A885" s="267" t="s">
        <v>154</v>
      </c>
      <c r="B885" s="163"/>
      <c r="C885" s="163"/>
      <c r="D885" s="163"/>
      <c r="E885" s="163"/>
      <c r="F885" s="163"/>
      <c r="G885" s="163"/>
      <c r="H885" s="163"/>
      <c r="I885" s="163"/>
      <c r="J885" s="164"/>
    </row>
    <row r="886" spans="1:10" ht="12.75" customHeight="1">
      <c r="A886" s="268" t="s">
        <v>155</v>
      </c>
      <c r="B886" s="171"/>
      <c r="C886" s="171"/>
      <c r="D886" s="171"/>
      <c r="E886" s="171"/>
      <c r="F886" s="171"/>
      <c r="G886" s="171"/>
      <c r="H886" s="171"/>
      <c r="I886" s="171"/>
      <c r="J886" s="172"/>
    </row>
    <row r="887" spans="1:10" ht="12.75" customHeight="1">
      <c r="A887" s="268" t="s">
        <v>156</v>
      </c>
      <c r="B887" s="171"/>
      <c r="C887" s="171"/>
      <c r="D887" s="171"/>
      <c r="E887" s="171"/>
      <c r="F887" s="171"/>
      <c r="G887" s="171"/>
      <c r="H887" s="171"/>
      <c r="I887" s="171"/>
      <c r="J887" s="172"/>
    </row>
    <row r="888" spans="1:10" ht="12.75" customHeight="1">
      <c r="A888" s="260" t="s">
        <v>157</v>
      </c>
      <c r="B888" s="149"/>
      <c r="C888" s="149"/>
      <c r="D888" s="149"/>
      <c r="E888" s="149"/>
      <c r="F888" s="149"/>
      <c r="G888" s="149"/>
      <c r="H888" s="149"/>
      <c r="I888" s="149"/>
      <c r="J888" s="150"/>
    </row>
    <row r="889" spans="1:10" ht="12.75" customHeight="1">
      <c r="A889" s="196"/>
      <c r="B889" s="197"/>
      <c r="C889" s="197"/>
      <c r="D889" s="197"/>
      <c r="E889" s="197"/>
      <c r="F889" s="197"/>
      <c r="G889" s="197"/>
      <c r="H889" s="197"/>
      <c r="I889" s="197"/>
      <c r="J889" s="198"/>
    </row>
    <row r="890" spans="1:10" ht="12.75" customHeight="1">
      <c r="A890" s="158"/>
      <c r="B890" s="156"/>
      <c r="C890" s="156"/>
      <c r="D890" s="156"/>
      <c r="E890" s="156"/>
      <c r="F890" s="156"/>
      <c r="G890" s="156"/>
      <c r="H890" s="156"/>
      <c r="I890" s="156"/>
      <c r="J890" s="157"/>
    </row>
    <row r="891" spans="1:10" ht="12.75" customHeight="1">
      <c r="A891" s="158"/>
      <c r="B891" s="156"/>
      <c r="C891" s="156"/>
      <c r="D891" s="156"/>
      <c r="E891" s="156"/>
      <c r="F891" s="156"/>
      <c r="G891" s="156"/>
      <c r="H891" s="156"/>
      <c r="I891" s="156"/>
      <c r="J891" s="157"/>
    </row>
    <row r="892" spans="1:10" ht="12.75" customHeight="1">
      <c r="A892" s="158"/>
      <c r="B892" s="156"/>
      <c r="C892" s="156"/>
      <c r="D892" s="156"/>
      <c r="E892" s="156"/>
      <c r="F892" s="156"/>
      <c r="G892" s="156"/>
      <c r="H892" s="156"/>
      <c r="I892" s="156"/>
      <c r="J892" s="157"/>
    </row>
    <row r="893" spans="1:10" ht="12.75" customHeight="1">
      <c r="A893" s="158"/>
      <c r="B893" s="156"/>
      <c r="C893" s="156"/>
      <c r="D893" s="156"/>
      <c r="E893" s="156"/>
      <c r="F893" s="156"/>
      <c r="G893" s="156"/>
      <c r="H893" s="156"/>
      <c r="I893" s="156"/>
      <c r="J893" s="157"/>
    </row>
    <row r="894" spans="1:10" ht="12.75" customHeight="1">
      <c r="A894" s="158"/>
      <c r="B894" s="156"/>
      <c r="C894" s="156"/>
      <c r="D894" s="156"/>
      <c r="E894" s="156"/>
      <c r="F894" s="156"/>
      <c r="G894" s="156"/>
      <c r="H894" s="156"/>
      <c r="I894" s="156"/>
      <c r="J894" s="157"/>
    </row>
    <row r="895" spans="1:10" ht="12.75" customHeight="1">
      <c r="A895" s="158"/>
      <c r="B895" s="156"/>
      <c r="C895" s="156"/>
      <c r="D895" s="156"/>
      <c r="E895" s="156"/>
      <c r="F895" s="156"/>
      <c r="G895" s="156"/>
      <c r="H895" s="156"/>
      <c r="I895" s="156"/>
      <c r="J895" s="157"/>
    </row>
    <row r="896" spans="1:10" ht="12.75" customHeight="1">
      <c r="A896" s="158"/>
      <c r="B896" s="156"/>
      <c r="C896" s="156"/>
      <c r="D896" s="156"/>
      <c r="E896" s="156"/>
      <c r="F896" s="156"/>
      <c r="G896" s="156"/>
      <c r="H896" s="156"/>
      <c r="I896" s="156"/>
      <c r="J896" s="157"/>
    </row>
    <row r="897" spans="1:10" ht="12.75" customHeight="1">
      <c r="A897" s="158"/>
      <c r="B897" s="156"/>
      <c r="C897" s="156"/>
      <c r="D897" s="156"/>
      <c r="E897" s="156"/>
      <c r="F897" s="156"/>
      <c r="G897" s="156"/>
      <c r="H897" s="156"/>
      <c r="I897" s="156"/>
      <c r="J897" s="157"/>
    </row>
    <row r="898" spans="1:10" ht="12.75" customHeight="1">
      <c r="A898" s="158"/>
      <c r="B898" s="156"/>
      <c r="C898" s="156"/>
      <c r="D898" s="156"/>
      <c r="E898" s="156"/>
      <c r="F898" s="156"/>
      <c r="G898" s="156"/>
      <c r="H898" s="156"/>
      <c r="I898" s="156"/>
      <c r="J898" s="157"/>
    </row>
    <row r="899" spans="1:10" ht="12.75" customHeight="1">
      <c r="A899" s="158"/>
      <c r="B899" s="156"/>
      <c r="C899" s="156"/>
      <c r="D899" s="156"/>
      <c r="E899" s="156"/>
      <c r="F899" s="156"/>
      <c r="G899" s="156"/>
      <c r="H899" s="156"/>
      <c r="I899" s="156"/>
      <c r="J899" s="157"/>
    </row>
    <row r="900" spans="1:10" ht="12.75" customHeight="1">
      <c r="A900" s="158"/>
      <c r="B900" s="156"/>
      <c r="C900" s="156"/>
      <c r="D900" s="156"/>
      <c r="E900" s="156"/>
      <c r="F900" s="156"/>
      <c r="G900" s="156"/>
      <c r="H900" s="156"/>
      <c r="I900" s="156"/>
      <c r="J900" s="157"/>
    </row>
    <row r="901" spans="1:10" ht="12.75" customHeight="1">
      <c r="A901" s="158"/>
      <c r="B901" s="156"/>
      <c r="C901" s="156"/>
      <c r="D901" s="156"/>
      <c r="E901" s="156"/>
      <c r="F901" s="156"/>
      <c r="G901" s="156"/>
      <c r="H901" s="156"/>
      <c r="I901" s="156"/>
      <c r="J901" s="157"/>
    </row>
    <row r="902" spans="1:10" ht="12.75" customHeight="1">
      <c r="A902" s="158"/>
      <c r="B902" s="156"/>
      <c r="C902" s="156"/>
      <c r="D902" s="156"/>
      <c r="E902" s="156"/>
      <c r="F902" s="156"/>
      <c r="G902" s="156"/>
      <c r="H902" s="156"/>
      <c r="I902" s="156"/>
      <c r="J902" s="157"/>
    </row>
    <row r="903" spans="1:10" ht="12.75" customHeight="1">
      <c r="A903" s="158"/>
      <c r="B903" s="156"/>
      <c r="C903" s="156"/>
      <c r="D903" s="156"/>
      <c r="E903" s="156"/>
      <c r="F903" s="156"/>
      <c r="G903" s="156"/>
      <c r="H903" s="156"/>
      <c r="I903" s="156"/>
      <c r="J903" s="157"/>
    </row>
    <row r="904" spans="1:10" ht="12.75" customHeight="1">
      <c r="A904" s="158"/>
      <c r="B904" s="156"/>
      <c r="C904" s="156"/>
      <c r="D904" s="156"/>
      <c r="E904" s="156"/>
      <c r="F904" s="156"/>
      <c r="G904" s="156"/>
      <c r="H904" s="156"/>
      <c r="I904" s="156"/>
      <c r="J904" s="157"/>
    </row>
    <row r="905" spans="1:10" ht="12.75" customHeight="1">
      <c r="A905" s="158"/>
      <c r="B905" s="156"/>
      <c r="C905" s="156"/>
      <c r="D905" s="156"/>
      <c r="E905" s="156"/>
      <c r="F905" s="156"/>
      <c r="G905" s="156"/>
      <c r="H905" s="156"/>
      <c r="I905" s="156"/>
      <c r="J905" s="157"/>
    </row>
    <row r="906" spans="1:10" ht="12.75" customHeight="1">
      <c r="A906" s="158"/>
      <c r="B906" s="156"/>
      <c r="C906" s="156"/>
      <c r="D906" s="156"/>
      <c r="E906" s="156"/>
      <c r="F906" s="156"/>
      <c r="G906" s="156"/>
      <c r="H906" s="156"/>
      <c r="I906" s="156"/>
      <c r="J906" s="157"/>
    </row>
    <row r="907" spans="1:10" ht="12.75" customHeight="1">
      <c r="A907" s="158"/>
      <c r="B907" s="156"/>
      <c r="C907" s="156"/>
      <c r="D907" s="156"/>
      <c r="E907" s="156"/>
      <c r="F907" s="156"/>
      <c r="G907" s="156"/>
      <c r="H907" s="156"/>
      <c r="I907" s="156"/>
      <c r="J907" s="157"/>
    </row>
    <row r="908" spans="1:10" ht="12.75" customHeight="1">
      <c r="A908" s="158"/>
      <c r="B908" s="156"/>
      <c r="C908" s="156"/>
      <c r="D908" s="156"/>
      <c r="E908" s="156"/>
      <c r="F908" s="156"/>
      <c r="G908" s="156"/>
      <c r="H908" s="156"/>
      <c r="I908" s="156"/>
      <c r="J908" s="157"/>
    </row>
    <row r="909" spans="1:10" ht="12.75" customHeight="1">
      <c r="A909" s="158"/>
      <c r="B909" s="156"/>
      <c r="C909" s="156"/>
      <c r="D909" s="156"/>
      <c r="E909" s="156"/>
      <c r="F909" s="156"/>
      <c r="G909" s="156"/>
      <c r="H909" s="156"/>
      <c r="I909" s="156"/>
      <c r="J909" s="157"/>
    </row>
    <row r="910" spans="1:10" ht="12.75" customHeight="1">
      <c r="A910" s="158"/>
      <c r="B910" s="156"/>
      <c r="C910" s="156"/>
      <c r="D910" s="156"/>
      <c r="E910" s="156"/>
      <c r="F910" s="156"/>
      <c r="G910" s="156"/>
      <c r="H910" s="156"/>
      <c r="I910" s="156"/>
      <c r="J910" s="157"/>
    </row>
    <row r="911" spans="1:10" ht="12.75" customHeight="1">
      <c r="A911" s="158"/>
      <c r="B911" s="156"/>
      <c r="C911" s="156"/>
      <c r="D911" s="156"/>
      <c r="E911" s="156"/>
      <c r="F911" s="156"/>
      <c r="G911" s="156"/>
      <c r="H911" s="156"/>
      <c r="I911" s="156"/>
      <c r="J911" s="157"/>
    </row>
    <row r="912" spans="1:10" ht="12.75" customHeight="1">
      <c r="A912" s="158"/>
      <c r="B912" s="156"/>
      <c r="C912" s="156"/>
      <c r="D912" s="156"/>
      <c r="E912" s="156"/>
      <c r="F912" s="156"/>
      <c r="G912" s="156"/>
      <c r="H912" s="156"/>
      <c r="I912" s="156"/>
      <c r="J912" s="157"/>
    </row>
    <row r="913" spans="1:10" ht="12.75" customHeight="1">
      <c r="A913" s="158"/>
      <c r="B913" s="156"/>
      <c r="C913" s="156"/>
      <c r="D913" s="156"/>
      <c r="E913" s="156"/>
      <c r="F913" s="156"/>
      <c r="G913" s="156"/>
      <c r="H913" s="156"/>
      <c r="I913" s="156"/>
      <c r="J913" s="157"/>
    </row>
    <row r="914" spans="1:10" ht="12.75" customHeight="1">
      <c r="A914" s="158"/>
      <c r="B914" s="156"/>
      <c r="C914" s="156"/>
      <c r="D914" s="156"/>
      <c r="E914" s="156"/>
      <c r="F914" s="156"/>
      <c r="G914" s="156"/>
      <c r="H914" s="156"/>
      <c r="I914" s="156"/>
      <c r="J914" s="157"/>
    </row>
    <row r="915" spans="1:10" ht="12.75" customHeight="1">
      <c r="A915" s="158"/>
      <c r="B915" s="156"/>
      <c r="C915" s="156"/>
      <c r="D915" s="156"/>
      <c r="E915" s="156"/>
      <c r="F915" s="156"/>
      <c r="G915" s="156"/>
      <c r="H915" s="156"/>
      <c r="I915" s="156"/>
      <c r="J915" s="157"/>
    </row>
    <row r="916" spans="1:10" ht="12.75" customHeight="1">
      <c r="A916" s="158"/>
      <c r="B916" s="156"/>
      <c r="C916" s="156"/>
      <c r="D916" s="156"/>
      <c r="E916" s="156"/>
      <c r="F916" s="156"/>
      <c r="G916" s="156"/>
      <c r="H916" s="156"/>
      <c r="I916" s="156"/>
      <c r="J916" s="157"/>
    </row>
    <row r="917" spans="1:10" ht="12.75" customHeight="1">
      <c r="A917" s="158"/>
      <c r="B917" s="156"/>
      <c r="C917" s="156"/>
      <c r="D917" s="156"/>
      <c r="E917" s="156"/>
      <c r="F917" s="156"/>
      <c r="G917" s="156"/>
      <c r="H917" s="156"/>
      <c r="I917" s="156"/>
      <c r="J917" s="157"/>
    </row>
    <row r="918" spans="1:10" ht="12.75" customHeight="1">
      <c r="A918" s="158"/>
      <c r="B918" s="156"/>
      <c r="C918" s="156"/>
      <c r="D918" s="156"/>
      <c r="E918" s="156"/>
      <c r="F918" s="156"/>
      <c r="G918" s="156"/>
      <c r="H918" s="156"/>
      <c r="I918" s="156"/>
      <c r="J918" s="157"/>
    </row>
    <row r="919" spans="1:10" ht="12.75" customHeight="1">
      <c r="A919" s="158"/>
      <c r="B919" s="156"/>
      <c r="C919" s="156"/>
      <c r="D919" s="156"/>
      <c r="E919" s="156"/>
      <c r="F919" s="156"/>
      <c r="G919" s="156"/>
      <c r="H919" s="156"/>
      <c r="I919" s="156"/>
      <c r="J919" s="157"/>
    </row>
    <row r="920" spans="1:10" ht="12.75" customHeight="1">
      <c r="A920" s="158"/>
      <c r="B920" s="156"/>
      <c r="C920" s="156"/>
      <c r="D920" s="156"/>
      <c r="E920" s="156"/>
      <c r="F920" s="156"/>
      <c r="G920" s="156"/>
      <c r="H920" s="156"/>
      <c r="I920" s="156"/>
      <c r="J920" s="157"/>
    </row>
    <row r="921" spans="1:10" ht="12.75" customHeight="1">
      <c r="A921" s="158"/>
      <c r="B921" s="156"/>
      <c r="C921" s="156"/>
      <c r="D921" s="156"/>
      <c r="E921" s="156"/>
      <c r="F921" s="156"/>
      <c r="G921" s="156"/>
      <c r="H921" s="156"/>
      <c r="I921" s="156"/>
      <c r="J921" s="157"/>
    </row>
    <row r="922" spans="1:10" ht="12.75" customHeight="1">
      <c r="A922" s="158"/>
      <c r="B922" s="156"/>
      <c r="C922" s="156"/>
      <c r="D922" s="156"/>
      <c r="E922" s="156"/>
      <c r="F922" s="156"/>
      <c r="G922" s="156"/>
      <c r="H922" s="156"/>
      <c r="I922" s="156"/>
      <c r="J922" s="157"/>
    </row>
    <row r="923" spans="1:10" ht="12.75" customHeight="1">
      <c r="A923" s="199"/>
      <c r="B923" s="167"/>
      <c r="C923" s="167"/>
      <c r="D923" s="167"/>
      <c r="E923" s="167"/>
      <c r="F923" s="167"/>
      <c r="G923" s="167"/>
      <c r="H923" s="167"/>
      <c r="I923" s="167"/>
      <c r="J923" s="168"/>
    </row>
    <row r="924" spans="1:10" ht="12.75" customHeight="1"/>
    <row r="925" spans="1:10" ht="12.75" customHeight="1"/>
    <row r="926" spans="1:10" ht="7.5" customHeight="1"/>
    <row r="927" spans="1:10" ht="12.75" customHeight="1"/>
    <row r="928" spans="1:10" ht="12.75" customHeight="1"/>
    <row r="929" ht="12.75" customHeight="1"/>
    <row r="930" ht="12.75" customHeight="1"/>
    <row r="931" ht="27"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7.5" customHeight="1"/>
    <row r="985" ht="12.75" customHeight="1"/>
    <row r="986" ht="12.75" customHeight="1"/>
    <row r="987" ht="12.75" customHeight="1"/>
    <row r="988" ht="12.75" customHeight="1"/>
    <row r="989" ht="27"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7.5" customHeight="1"/>
    <row r="1043" ht="12.75" customHeight="1"/>
    <row r="1044" ht="12.75" customHeight="1"/>
    <row r="1045" ht="12.75" customHeight="1"/>
    <row r="1046" ht="12.75" customHeight="1"/>
    <row r="1047" ht="27" customHeight="1"/>
  </sheetData>
  <mergeCells count="865">
    <mergeCell ref="A768:D768"/>
    <mergeCell ref="E768:F768"/>
    <mergeCell ref="G768:H768"/>
    <mergeCell ref="I768:J768"/>
    <mergeCell ref="A769:J769"/>
    <mergeCell ref="A770:J770"/>
    <mergeCell ref="A765:D765"/>
    <mergeCell ref="E765:F765"/>
    <mergeCell ref="A766:D766"/>
    <mergeCell ref="E766:F766"/>
    <mergeCell ref="G766:H766"/>
    <mergeCell ref="I766:J766"/>
    <mergeCell ref="E767:F767"/>
    <mergeCell ref="G767:H767"/>
    <mergeCell ref="I767:J767"/>
    <mergeCell ref="A767:D767"/>
    <mergeCell ref="G765:H765"/>
    <mergeCell ref="I765:J765"/>
    <mergeCell ref="A762:D762"/>
    <mergeCell ref="E762:F762"/>
    <mergeCell ref="G762:H762"/>
    <mergeCell ref="I762:J762"/>
    <mergeCell ref="E763:F763"/>
    <mergeCell ref="G763:H763"/>
    <mergeCell ref="I763:J763"/>
    <mergeCell ref="A763:D763"/>
    <mergeCell ref="A764:D764"/>
    <mergeCell ref="E764:F764"/>
    <mergeCell ref="G764:H764"/>
    <mergeCell ref="I764:J764"/>
    <mergeCell ref="G710:H710"/>
    <mergeCell ref="I710:J710"/>
    <mergeCell ref="A711:J711"/>
    <mergeCell ref="A712:J712"/>
    <mergeCell ref="A713:J713"/>
    <mergeCell ref="A714:J714"/>
    <mergeCell ref="A715:J749"/>
    <mergeCell ref="A751:G751"/>
    <mergeCell ref="H751:J751"/>
    <mergeCell ref="A709:D709"/>
    <mergeCell ref="E709:F709"/>
    <mergeCell ref="G709:H709"/>
    <mergeCell ref="I709:J709"/>
    <mergeCell ref="A710:D710"/>
    <mergeCell ref="E710:F710"/>
    <mergeCell ref="G702:H702"/>
    <mergeCell ref="I702:J702"/>
    <mergeCell ref="A700:D700"/>
    <mergeCell ref="A701:D701"/>
    <mergeCell ref="E701:F701"/>
    <mergeCell ref="G701:H701"/>
    <mergeCell ref="I701:J701"/>
    <mergeCell ref="A702:D702"/>
    <mergeCell ref="E702:F702"/>
    <mergeCell ref="A703:D703"/>
    <mergeCell ref="E703:F703"/>
    <mergeCell ref="G703:H703"/>
    <mergeCell ref="I703:J703"/>
    <mergeCell ref="E704:F704"/>
    <mergeCell ref="G704:H704"/>
    <mergeCell ref="I704:J704"/>
    <mergeCell ref="G706:H706"/>
    <mergeCell ref="I706:J706"/>
    <mergeCell ref="E700:F700"/>
    <mergeCell ref="G700:H700"/>
    <mergeCell ref="I700:J700"/>
    <mergeCell ref="A707:D707"/>
    <mergeCell ref="E707:F707"/>
    <mergeCell ref="G707:H707"/>
    <mergeCell ref="I707:J707"/>
    <mergeCell ref="E708:F708"/>
    <mergeCell ref="G708:H708"/>
    <mergeCell ref="I708:J708"/>
    <mergeCell ref="A708:D708"/>
    <mergeCell ref="A704:D704"/>
    <mergeCell ref="A705:D705"/>
    <mergeCell ref="E705:F705"/>
    <mergeCell ref="G705:H705"/>
    <mergeCell ref="I705:J705"/>
    <mergeCell ref="A706:D706"/>
    <mergeCell ref="E706:F706"/>
    <mergeCell ref="E699:F699"/>
    <mergeCell ref="G699:H699"/>
    <mergeCell ref="I699:J699"/>
    <mergeCell ref="H693:J693"/>
    <mergeCell ref="A695:J695"/>
    <mergeCell ref="E696:J697"/>
    <mergeCell ref="A646:D646"/>
    <mergeCell ref="E646:F646"/>
    <mergeCell ref="G646:H646"/>
    <mergeCell ref="I646:J646"/>
    <mergeCell ref="E647:F647"/>
    <mergeCell ref="G647:H647"/>
    <mergeCell ref="I647:J647"/>
    <mergeCell ref="A647:D647"/>
    <mergeCell ref="A648:D648"/>
    <mergeCell ref="E648:F648"/>
    <mergeCell ref="G648:H648"/>
    <mergeCell ref="I648:J648"/>
    <mergeCell ref="G641:H641"/>
    <mergeCell ref="I641:J641"/>
    <mergeCell ref="A637:J637"/>
    <mergeCell ref="A638:D638"/>
    <mergeCell ref="E638:J639"/>
    <mergeCell ref="A639:D639"/>
    <mergeCell ref="A640:D640"/>
    <mergeCell ref="E640:J640"/>
    <mergeCell ref="E641:F641"/>
    <mergeCell ref="A642:D642"/>
    <mergeCell ref="E642:F642"/>
    <mergeCell ref="G642:H642"/>
    <mergeCell ref="I642:J642"/>
    <mergeCell ref="E643:F643"/>
    <mergeCell ref="G643:H643"/>
    <mergeCell ref="I643:J643"/>
    <mergeCell ref="G645:H645"/>
    <mergeCell ref="I645:J645"/>
    <mergeCell ref="A643:D643"/>
    <mergeCell ref="A644:D644"/>
    <mergeCell ref="E644:F644"/>
    <mergeCell ref="G644:H644"/>
    <mergeCell ref="I644:J644"/>
    <mergeCell ref="A645:D645"/>
    <mergeCell ref="E645:F645"/>
    <mergeCell ref="A887:J887"/>
    <mergeCell ref="A888:J888"/>
    <mergeCell ref="A889:J923"/>
    <mergeCell ref="A650:D650"/>
    <mergeCell ref="E650:F650"/>
    <mergeCell ref="G650:H650"/>
    <mergeCell ref="I650:J650"/>
    <mergeCell ref="E651:F651"/>
    <mergeCell ref="G651:H651"/>
    <mergeCell ref="I651:J651"/>
    <mergeCell ref="A651:D651"/>
    <mergeCell ref="A652:D652"/>
    <mergeCell ref="E652:F652"/>
    <mergeCell ref="G652:H652"/>
    <mergeCell ref="I652:J652"/>
    <mergeCell ref="A653:J653"/>
    <mergeCell ref="A654:J654"/>
    <mergeCell ref="A696:D696"/>
    <mergeCell ref="A697:D697"/>
    <mergeCell ref="A698:D698"/>
    <mergeCell ref="A655:J655"/>
    <mergeCell ref="A656:J656"/>
    <mergeCell ref="A657:J691"/>
    <mergeCell ref="A693:G693"/>
    <mergeCell ref="A886:J886"/>
    <mergeCell ref="G873:H873"/>
    <mergeCell ref="I873:J873"/>
    <mergeCell ref="A869:J869"/>
    <mergeCell ref="A870:D870"/>
    <mergeCell ref="E870:J871"/>
    <mergeCell ref="A871:D871"/>
    <mergeCell ref="A872:D872"/>
    <mergeCell ref="E872:J872"/>
    <mergeCell ref="E873:F873"/>
    <mergeCell ref="A874:D874"/>
    <mergeCell ref="E874:F874"/>
    <mergeCell ref="G874:H874"/>
    <mergeCell ref="I874:J874"/>
    <mergeCell ref="E875:F875"/>
    <mergeCell ref="G875:H875"/>
    <mergeCell ref="I875:J875"/>
    <mergeCell ref="G877:H877"/>
    <mergeCell ref="I877:J877"/>
    <mergeCell ref="A875:D875"/>
    <mergeCell ref="A876:D876"/>
    <mergeCell ref="E876:F876"/>
    <mergeCell ref="G876:H876"/>
    <mergeCell ref="I876:J876"/>
    <mergeCell ref="E883:F883"/>
    <mergeCell ref="G883:H883"/>
    <mergeCell ref="I883:J883"/>
    <mergeCell ref="A883:D883"/>
    <mergeCell ref="A884:D884"/>
    <mergeCell ref="E884:F884"/>
    <mergeCell ref="G884:H884"/>
    <mergeCell ref="I884:J884"/>
    <mergeCell ref="A885:J885"/>
    <mergeCell ref="A880:D880"/>
    <mergeCell ref="E880:F880"/>
    <mergeCell ref="G880:H880"/>
    <mergeCell ref="I880:J880"/>
    <mergeCell ref="A881:D881"/>
    <mergeCell ref="E881:F881"/>
    <mergeCell ref="A882:D882"/>
    <mergeCell ref="E882:F882"/>
    <mergeCell ref="G882:H882"/>
    <mergeCell ref="I882:J882"/>
    <mergeCell ref="G881:H881"/>
    <mergeCell ref="I881:J881"/>
    <mergeCell ref="A831:J865"/>
    <mergeCell ref="A867:G867"/>
    <mergeCell ref="H867:J867"/>
    <mergeCell ref="A878:D878"/>
    <mergeCell ref="E878:F878"/>
    <mergeCell ref="G878:H878"/>
    <mergeCell ref="I878:J878"/>
    <mergeCell ref="E879:F879"/>
    <mergeCell ref="G879:H879"/>
    <mergeCell ref="I879:J879"/>
    <mergeCell ref="A879:D879"/>
    <mergeCell ref="A877:D877"/>
    <mergeCell ref="E877:F877"/>
    <mergeCell ref="G826:H826"/>
    <mergeCell ref="I826:J826"/>
    <mergeCell ref="A827:J827"/>
    <mergeCell ref="A828:J828"/>
    <mergeCell ref="A829:J829"/>
    <mergeCell ref="A830:J830"/>
    <mergeCell ref="A826:D826"/>
    <mergeCell ref="E826:F826"/>
    <mergeCell ref="A823:D823"/>
    <mergeCell ref="E823:F823"/>
    <mergeCell ref="G823:H823"/>
    <mergeCell ref="I823:J823"/>
    <mergeCell ref="E824:F824"/>
    <mergeCell ref="G824:H824"/>
    <mergeCell ref="I824:J824"/>
    <mergeCell ref="A824:D824"/>
    <mergeCell ref="A825:D825"/>
    <mergeCell ref="E825:F825"/>
    <mergeCell ref="G825:H825"/>
    <mergeCell ref="I825:J825"/>
    <mergeCell ref="G818:H818"/>
    <mergeCell ref="I818:J818"/>
    <mergeCell ref="A816:D816"/>
    <mergeCell ref="A817:D817"/>
    <mergeCell ref="E817:F817"/>
    <mergeCell ref="G817:H817"/>
    <mergeCell ref="I817:J817"/>
    <mergeCell ref="A818:D818"/>
    <mergeCell ref="E818:F818"/>
    <mergeCell ref="A819:D819"/>
    <mergeCell ref="E819:F819"/>
    <mergeCell ref="G819:H819"/>
    <mergeCell ref="I819:J819"/>
    <mergeCell ref="E820:F820"/>
    <mergeCell ref="G820:H820"/>
    <mergeCell ref="I820:J820"/>
    <mergeCell ref="G822:H822"/>
    <mergeCell ref="I822:J822"/>
    <mergeCell ref="A820:D820"/>
    <mergeCell ref="A821:D821"/>
    <mergeCell ref="E821:F821"/>
    <mergeCell ref="G821:H821"/>
    <mergeCell ref="I821:J821"/>
    <mergeCell ref="A822:D822"/>
    <mergeCell ref="E822:F822"/>
    <mergeCell ref="E815:F815"/>
    <mergeCell ref="G815:H815"/>
    <mergeCell ref="I815:J815"/>
    <mergeCell ref="E816:F816"/>
    <mergeCell ref="G816:H816"/>
    <mergeCell ref="I816:J816"/>
    <mergeCell ref="I758:J758"/>
    <mergeCell ref="E759:F759"/>
    <mergeCell ref="G759:H759"/>
    <mergeCell ref="I759:J759"/>
    <mergeCell ref="G761:H761"/>
    <mergeCell ref="I761:J761"/>
    <mergeCell ref="A759:D759"/>
    <mergeCell ref="A760:D760"/>
    <mergeCell ref="E760:F760"/>
    <mergeCell ref="G760:H760"/>
    <mergeCell ref="I760:J760"/>
    <mergeCell ref="A761:D761"/>
    <mergeCell ref="E761:F761"/>
    <mergeCell ref="A649:D649"/>
    <mergeCell ref="E649:F649"/>
    <mergeCell ref="G757:H757"/>
    <mergeCell ref="I757:J757"/>
    <mergeCell ref="A753:J753"/>
    <mergeCell ref="A754:D754"/>
    <mergeCell ref="E754:J755"/>
    <mergeCell ref="A755:D755"/>
    <mergeCell ref="A756:D756"/>
    <mergeCell ref="E756:J756"/>
    <mergeCell ref="E757:F757"/>
    <mergeCell ref="A758:D758"/>
    <mergeCell ref="E758:F758"/>
    <mergeCell ref="G758:H758"/>
    <mergeCell ref="G649:H649"/>
    <mergeCell ref="I649:J649"/>
    <mergeCell ref="E698:J698"/>
    <mergeCell ref="A812:D812"/>
    <mergeCell ref="A813:D813"/>
    <mergeCell ref="A814:D814"/>
    <mergeCell ref="A771:J771"/>
    <mergeCell ref="A772:J772"/>
    <mergeCell ref="A773:J807"/>
    <mergeCell ref="A809:G809"/>
    <mergeCell ref="H809:J809"/>
    <mergeCell ref="A811:J811"/>
    <mergeCell ref="E812:J813"/>
    <mergeCell ref="E814:J814"/>
    <mergeCell ref="A534:D534"/>
    <mergeCell ref="E534:F534"/>
    <mergeCell ref="G534:H534"/>
    <mergeCell ref="I534:J534"/>
    <mergeCell ref="E535:F535"/>
    <mergeCell ref="G535:H535"/>
    <mergeCell ref="I535:J535"/>
    <mergeCell ref="A535:D535"/>
    <mergeCell ref="A536:D536"/>
    <mergeCell ref="E536:F536"/>
    <mergeCell ref="G536:H536"/>
    <mergeCell ref="I536:J536"/>
    <mergeCell ref="A599:J633"/>
    <mergeCell ref="A635:G635"/>
    <mergeCell ref="H635:J635"/>
    <mergeCell ref="I589:J589"/>
    <mergeCell ref="A590:D590"/>
    <mergeCell ref="E590:F590"/>
    <mergeCell ref="G594:H594"/>
    <mergeCell ref="I594:J594"/>
    <mergeCell ref="A595:J595"/>
    <mergeCell ref="A596:J596"/>
    <mergeCell ref="A597:J597"/>
    <mergeCell ref="A598:J598"/>
    <mergeCell ref="A594:D594"/>
    <mergeCell ref="E594:F594"/>
    <mergeCell ref="A593:D593"/>
    <mergeCell ref="E593:F593"/>
    <mergeCell ref="G593:H593"/>
    <mergeCell ref="I593:J593"/>
    <mergeCell ref="A591:D591"/>
    <mergeCell ref="E591:F591"/>
    <mergeCell ref="G591:H591"/>
    <mergeCell ref="I591:J591"/>
    <mergeCell ref="E592:F592"/>
    <mergeCell ref="G592:H592"/>
    <mergeCell ref="E531:F531"/>
    <mergeCell ref="G531:H531"/>
    <mergeCell ref="I531:J531"/>
    <mergeCell ref="A531:D531"/>
    <mergeCell ref="A532:D532"/>
    <mergeCell ref="E532:F532"/>
    <mergeCell ref="G532:H532"/>
    <mergeCell ref="I532:J532"/>
    <mergeCell ref="A533:D533"/>
    <mergeCell ref="E533:F533"/>
    <mergeCell ref="G533:H533"/>
    <mergeCell ref="I533:J533"/>
    <mergeCell ref="A479:J479"/>
    <mergeCell ref="A480:J480"/>
    <mergeCell ref="A481:J481"/>
    <mergeCell ref="A482:J482"/>
    <mergeCell ref="A483:J517"/>
    <mergeCell ref="A519:G519"/>
    <mergeCell ref="H519:J519"/>
    <mergeCell ref="A530:D530"/>
    <mergeCell ref="E530:F530"/>
    <mergeCell ref="G530:H530"/>
    <mergeCell ref="I530:J530"/>
    <mergeCell ref="I526:J526"/>
    <mergeCell ref="E527:F527"/>
    <mergeCell ref="G527:H527"/>
    <mergeCell ref="I527:J527"/>
    <mergeCell ref="G529:H529"/>
    <mergeCell ref="I529:J529"/>
    <mergeCell ref="A527:D527"/>
    <mergeCell ref="A528:D528"/>
    <mergeCell ref="E528:F528"/>
    <mergeCell ref="G528:H528"/>
    <mergeCell ref="I528:J528"/>
    <mergeCell ref="A529:D529"/>
    <mergeCell ref="E529:F529"/>
    <mergeCell ref="E411:F411"/>
    <mergeCell ref="G411:H411"/>
    <mergeCell ref="I411:J411"/>
    <mergeCell ref="G413:H413"/>
    <mergeCell ref="I413:J413"/>
    <mergeCell ref="A411:D411"/>
    <mergeCell ref="A412:D412"/>
    <mergeCell ref="E412:F412"/>
    <mergeCell ref="G412:H412"/>
    <mergeCell ref="I412:J412"/>
    <mergeCell ref="A413:D413"/>
    <mergeCell ref="E413:F413"/>
    <mergeCell ref="A423:J423"/>
    <mergeCell ref="A424:J424"/>
    <mergeCell ref="A425:J459"/>
    <mergeCell ref="A461:G461"/>
    <mergeCell ref="H461:J461"/>
    <mergeCell ref="A463:J463"/>
    <mergeCell ref="E464:J465"/>
    <mergeCell ref="E466:J466"/>
    <mergeCell ref="G472:H472"/>
    <mergeCell ref="I472:J472"/>
    <mergeCell ref="G470:H470"/>
    <mergeCell ref="I470:J470"/>
    <mergeCell ref="A468:D468"/>
    <mergeCell ref="A469:D469"/>
    <mergeCell ref="E469:F469"/>
    <mergeCell ref="G469:H469"/>
    <mergeCell ref="A472:D472"/>
    <mergeCell ref="E467:F467"/>
    <mergeCell ref="G467:H467"/>
    <mergeCell ref="I467:J467"/>
    <mergeCell ref="E468:F468"/>
    <mergeCell ref="G468:H468"/>
    <mergeCell ref="I468:J468"/>
    <mergeCell ref="E526:F526"/>
    <mergeCell ref="G526:H526"/>
    <mergeCell ref="A471:D471"/>
    <mergeCell ref="E471:F471"/>
    <mergeCell ref="G471:H471"/>
    <mergeCell ref="I471:J471"/>
    <mergeCell ref="E472:F472"/>
    <mergeCell ref="A464:D464"/>
    <mergeCell ref="A465:D465"/>
    <mergeCell ref="A466:D466"/>
    <mergeCell ref="E476:F476"/>
    <mergeCell ref="G476:H476"/>
    <mergeCell ref="I476:J476"/>
    <mergeCell ref="A476:D476"/>
    <mergeCell ref="A477:D477"/>
    <mergeCell ref="E477:F477"/>
    <mergeCell ref="G477:H477"/>
    <mergeCell ref="I477:J477"/>
    <mergeCell ref="A478:D478"/>
    <mergeCell ref="E478:F478"/>
    <mergeCell ref="G478:H478"/>
    <mergeCell ref="I478:J478"/>
    <mergeCell ref="G474:H474"/>
    <mergeCell ref="I474:J474"/>
    <mergeCell ref="E582:J582"/>
    <mergeCell ref="E583:F583"/>
    <mergeCell ref="G583:H583"/>
    <mergeCell ref="I583:J583"/>
    <mergeCell ref="E584:F584"/>
    <mergeCell ref="G584:H584"/>
    <mergeCell ref="I584:J584"/>
    <mergeCell ref="A537:J537"/>
    <mergeCell ref="A538:J538"/>
    <mergeCell ref="G586:H586"/>
    <mergeCell ref="I586:J586"/>
    <mergeCell ref="A584:D584"/>
    <mergeCell ref="A585:D585"/>
    <mergeCell ref="E585:F585"/>
    <mergeCell ref="G585:H585"/>
    <mergeCell ref="I585:J585"/>
    <mergeCell ref="A586:D586"/>
    <mergeCell ref="E586:F586"/>
    <mergeCell ref="A587:D587"/>
    <mergeCell ref="E587:F587"/>
    <mergeCell ref="G587:H587"/>
    <mergeCell ref="I587:J587"/>
    <mergeCell ref="E588:F588"/>
    <mergeCell ref="G588:H588"/>
    <mergeCell ref="I588:J588"/>
    <mergeCell ref="G590:H590"/>
    <mergeCell ref="I590:J590"/>
    <mergeCell ref="A588:D588"/>
    <mergeCell ref="A589:D589"/>
    <mergeCell ref="E589:F589"/>
    <mergeCell ref="G589:H589"/>
    <mergeCell ref="I592:J592"/>
    <mergeCell ref="A592:D592"/>
    <mergeCell ref="A421:J421"/>
    <mergeCell ref="A422:J422"/>
    <mergeCell ref="A580:D580"/>
    <mergeCell ref="A581:D581"/>
    <mergeCell ref="A582:D582"/>
    <mergeCell ref="A539:J539"/>
    <mergeCell ref="A540:J540"/>
    <mergeCell ref="A541:J575"/>
    <mergeCell ref="A577:G577"/>
    <mergeCell ref="H577:J577"/>
    <mergeCell ref="A579:J579"/>
    <mergeCell ref="E580:J581"/>
    <mergeCell ref="G525:H525"/>
    <mergeCell ref="I525:J525"/>
    <mergeCell ref="A521:J521"/>
    <mergeCell ref="A522:D522"/>
    <mergeCell ref="E522:J523"/>
    <mergeCell ref="A523:D523"/>
    <mergeCell ref="A524:D524"/>
    <mergeCell ref="E524:J524"/>
    <mergeCell ref="E525:F525"/>
    <mergeCell ref="A526:D526"/>
    <mergeCell ref="A418:D418"/>
    <mergeCell ref="E418:F418"/>
    <mergeCell ref="G418:H418"/>
    <mergeCell ref="I418:J418"/>
    <mergeCell ref="E419:F419"/>
    <mergeCell ref="G419:H419"/>
    <mergeCell ref="I419:J419"/>
    <mergeCell ref="A419:D419"/>
    <mergeCell ref="A420:D420"/>
    <mergeCell ref="E420:F420"/>
    <mergeCell ref="G420:H420"/>
    <mergeCell ref="I420:J420"/>
    <mergeCell ref="A475:D475"/>
    <mergeCell ref="E475:F475"/>
    <mergeCell ref="G475:H475"/>
    <mergeCell ref="I475:J475"/>
    <mergeCell ref="I469:J469"/>
    <mergeCell ref="A470:D470"/>
    <mergeCell ref="E470:F470"/>
    <mergeCell ref="A473:D473"/>
    <mergeCell ref="E473:F473"/>
    <mergeCell ref="G473:H473"/>
    <mergeCell ref="I473:J473"/>
    <mergeCell ref="A474:D474"/>
    <mergeCell ref="E474:F474"/>
    <mergeCell ref="E415:F415"/>
    <mergeCell ref="G415:H415"/>
    <mergeCell ref="I415:J415"/>
    <mergeCell ref="A415:D415"/>
    <mergeCell ref="A416:D416"/>
    <mergeCell ref="E416:F416"/>
    <mergeCell ref="G416:H416"/>
    <mergeCell ref="I416:J416"/>
    <mergeCell ref="A417:D417"/>
    <mergeCell ref="E417:F417"/>
    <mergeCell ref="G417:H417"/>
    <mergeCell ref="I417:J417"/>
    <mergeCell ref="A363:J363"/>
    <mergeCell ref="A364:J364"/>
    <mergeCell ref="A365:J365"/>
    <mergeCell ref="A366:J366"/>
    <mergeCell ref="A367:J401"/>
    <mergeCell ref="A403:G403"/>
    <mergeCell ref="H403:J403"/>
    <mergeCell ref="A414:D414"/>
    <mergeCell ref="E414:F414"/>
    <mergeCell ref="G414:H414"/>
    <mergeCell ref="I414:J414"/>
    <mergeCell ref="G409:H409"/>
    <mergeCell ref="I409:J409"/>
    <mergeCell ref="A405:J405"/>
    <mergeCell ref="A406:D406"/>
    <mergeCell ref="E406:J407"/>
    <mergeCell ref="A407:D407"/>
    <mergeCell ref="A408:D408"/>
    <mergeCell ref="E408:J408"/>
    <mergeCell ref="E409:F409"/>
    <mergeCell ref="A410:D410"/>
    <mergeCell ref="E410:F410"/>
    <mergeCell ref="G410:H410"/>
    <mergeCell ref="I410:J410"/>
    <mergeCell ref="G356:H356"/>
    <mergeCell ref="I356:J356"/>
    <mergeCell ref="G358:H358"/>
    <mergeCell ref="I358:J358"/>
    <mergeCell ref="A356:D356"/>
    <mergeCell ref="A357:D357"/>
    <mergeCell ref="E357:F357"/>
    <mergeCell ref="G357:H357"/>
    <mergeCell ref="I357:J357"/>
    <mergeCell ref="A358:D358"/>
    <mergeCell ref="E358:F358"/>
    <mergeCell ref="E360:F360"/>
    <mergeCell ref="G360:H360"/>
    <mergeCell ref="I360:J360"/>
    <mergeCell ref="A360:D360"/>
    <mergeCell ref="A361:D361"/>
    <mergeCell ref="E361:F361"/>
    <mergeCell ref="G361:H361"/>
    <mergeCell ref="I361:J361"/>
    <mergeCell ref="A362:D362"/>
    <mergeCell ref="E362:F362"/>
    <mergeCell ref="G362:H362"/>
    <mergeCell ref="I362:J362"/>
    <mergeCell ref="E351:F351"/>
    <mergeCell ref="G351:H351"/>
    <mergeCell ref="I351:J351"/>
    <mergeCell ref="E352:F352"/>
    <mergeCell ref="G352:H352"/>
    <mergeCell ref="I352:J352"/>
    <mergeCell ref="A359:D359"/>
    <mergeCell ref="E359:F359"/>
    <mergeCell ref="G359:H359"/>
    <mergeCell ref="I359:J359"/>
    <mergeCell ref="G354:H354"/>
    <mergeCell ref="I354:J354"/>
    <mergeCell ref="A352:D352"/>
    <mergeCell ref="A353:D353"/>
    <mergeCell ref="E353:F353"/>
    <mergeCell ref="G353:H353"/>
    <mergeCell ref="I353:J353"/>
    <mergeCell ref="A354:D354"/>
    <mergeCell ref="E354:F354"/>
    <mergeCell ref="A355:D355"/>
    <mergeCell ref="E355:F355"/>
    <mergeCell ref="G355:H355"/>
    <mergeCell ref="I355:J355"/>
    <mergeCell ref="E356:F356"/>
    <mergeCell ref="A294:D294"/>
    <mergeCell ref="E294:F294"/>
    <mergeCell ref="G294:H294"/>
    <mergeCell ref="I294:J294"/>
    <mergeCell ref="E295:F295"/>
    <mergeCell ref="G295:H295"/>
    <mergeCell ref="I295:J295"/>
    <mergeCell ref="G297:H297"/>
    <mergeCell ref="I297:J297"/>
    <mergeCell ref="A295:D295"/>
    <mergeCell ref="A296:D296"/>
    <mergeCell ref="E296:F296"/>
    <mergeCell ref="G296:H296"/>
    <mergeCell ref="I296:J296"/>
    <mergeCell ref="A297:D297"/>
    <mergeCell ref="E297:F297"/>
    <mergeCell ref="G293:H293"/>
    <mergeCell ref="I293:J293"/>
    <mergeCell ref="A289:J289"/>
    <mergeCell ref="A290:D290"/>
    <mergeCell ref="E290:J291"/>
    <mergeCell ref="A291:D291"/>
    <mergeCell ref="A292:D292"/>
    <mergeCell ref="E292:J292"/>
    <mergeCell ref="E293:F293"/>
    <mergeCell ref="A304:D304"/>
    <mergeCell ref="E304:F304"/>
    <mergeCell ref="G304:H304"/>
    <mergeCell ref="I304:J304"/>
    <mergeCell ref="A305:J305"/>
    <mergeCell ref="A306:J306"/>
    <mergeCell ref="A348:D348"/>
    <mergeCell ref="A349:D349"/>
    <mergeCell ref="A350:D350"/>
    <mergeCell ref="A307:J307"/>
    <mergeCell ref="A308:J308"/>
    <mergeCell ref="A309:J343"/>
    <mergeCell ref="A345:G345"/>
    <mergeCell ref="H345:J345"/>
    <mergeCell ref="A347:J347"/>
    <mergeCell ref="E348:J349"/>
    <mergeCell ref="E350:J350"/>
    <mergeCell ref="A301:D301"/>
    <mergeCell ref="E301:F301"/>
    <mergeCell ref="A302:D302"/>
    <mergeCell ref="E302:F302"/>
    <mergeCell ref="G302:H302"/>
    <mergeCell ref="I302:J302"/>
    <mergeCell ref="E303:F303"/>
    <mergeCell ref="G303:H303"/>
    <mergeCell ref="I303:J303"/>
    <mergeCell ref="A303:D303"/>
    <mergeCell ref="G301:H301"/>
    <mergeCell ref="I301:J301"/>
    <mergeCell ref="A298:D298"/>
    <mergeCell ref="E298:F298"/>
    <mergeCell ref="G298:H298"/>
    <mergeCell ref="I298:J298"/>
    <mergeCell ref="E299:F299"/>
    <mergeCell ref="G299:H299"/>
    <mergeCell ref="I299:J299"/>
    <mergeCell ref="A299:D299"/>
    <mergeCell ref="A300:D300"/>
    <mergeCell ref="E300:F300"/>
    <mergeCell ref="G300:H300"/>
    <mergeCell ref="I300:J300"/>
    <mergeCell ref="A238:D238"/>
    <mergeCell ref="A239:D239"/>
    <mergeCell ref="A247:J247"/>
    <mergeCell ref="A248:J248"/>
    <mergeCell ref="A249:J249"/>
    <mergeCell ref="A250:J250"/>
    <mergeCell ref="A251:J285"/>
    <mergeCell ref="A287:G287"/>
    <mergeCell ref="H287:J287"/>
    <mergeCell ref="G246:H246"/>
    <mergeCell ref="I246:J246"/>
    <mergeCell ref="A244:D244"/>
    <mergeCell ref="A245:D245"/>
    <mergeCell ref="E245:F245"/>
    <mergeCell ref="G245:H245"/>
    <mergeCell ref="I245:J245"/>
    <mergeCell ref="A246:D246"/>
    <mergeCell ref="E246:F246"/>
    <mergeCell ref="E244:F244"/>
    <mergeCell ref="G244:H244"/>
    <mergeCell ref="G242:H242"/>
    <mergeCell ref="I242:J242"/>
    <mergeCell ref="A243:D243"/>
    <mergeCell ref="E243:F243"/>
    <mergeCell ref="I235:J235"/>
    <mergeCell ref="E236:F236"/>
    <mergeCell ref="G236:H236"/>
    <mergeCell ref="I236:J236"/>
    <mergeCell ref="A232:D232"/>
    <mergeCell ref="A233:D233"/>
    <mergeCell ref="A234:D234"/>
    <mergeCell ref="A236:D236"/>
    <mergeCell ref="A237:D237"/>
    <mergeCell ref="E234:J234"/>
    <mergeCell ref="E235:F235"/>
    <mergeCell ref="G235:H235"/>
    <mergeCell ref="G243:H243"/>
    <mergeCell ref="I243:J243"/>
    <mergeCell ref="I244:J244"/>
    <mergeCell ref="E240:F240"/>
    <mergeCell ref="G240:H240"/>
    <mergeCell ref="I240:J240"/>
    <mergeCell ref="A240:D240"/>
    <mergeCell ref="A241:D241"/>
    <mergeCell ref="E241:F241"/>
    <mergeCell ref="G241:H241"/>
    <mergeCell ref="I241:J241"/>
    <mergeCell ref="A242:D242"/>
    <mergeCell ref="E242:F242"/>
    <mergeCell ref="G239:H239"/>
    <mergeCell ref="I239:J239"/>
    <mergeCell ref="E237:F237"/>
    <mergeCell ref="G237:H237"/>
    <mergeCell ref="I237:J237"/>
    <mergeCell ref="E238:F238"/>
    <mergeCell ref="G238:H238"/>
    <mergeCell ref="I238:J238"/>
    <mergeCell ref="E239:F239"/>
    <mergeCell ref="A195:J195"/>
    <mergeCell ref="A196:J196"/>
    <mergeCell ref="A197:J197"/>
    <mergeCell ref="A198:J198"/>
    <mergeCell ref="A199:J226"/>
    <mergeCell ref="A229:G229"/>
    <mergeCell ref="H229:J229"/>
    <mergeCell ref="A231:J231"/>
    <mergeCell ref="E232:J233"/>
    <mergeCell ref="A192:D192"/>
    <mergeCell ref="E192:F192"/>
    <mergeCell ref="G192:H192"/>
    <mergeCell ref="I192:J192"/>
    <mergeCell ref="E193:F193"/>
    <mergeCell ref="G193:H193"/>
    <mergeCell ref="I193:J193"/>
    <mergeCell ref="A193:D193"/>
    <mergeCell ref="A194:D194"/>
    <mergeCell ref="E194:F194"/>
    <mergeCell ref="G194:H194"/>
    <mergeCell ref="I194:J194"/>
    <mergeCell ref="G191:H191"/>
    <mergeCell ref="I191:J191"/>
    <mergeCell ref="A189:D189"/>
    <mergeCell ref="A190:D190"/>
    <mergeCell ref="E190:F190"/>
    <mergeCell ref="G190:H190"/>
    <mergeCell ref="I190:J190"/>
    <mergeCell ref="A191:D191"/>
    <mergeCell ref="E191:F191"/>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E184:F184"/>
    <mergeCell ref="A141:D141"/>
    <mergeCell ref="E141:F141"/>
    <mergeCell ref="A142:D142"/>
    <mergeCell ref="E142:F142"/>
    <mergeCell ref="G142:H142"/>
    <mergeCell ref="I142:J142"/>
    <mergeCell ref="A143:J143"/>
    <mergeCell ref="A144:J144"/>
    <mergeCell ref="A145:J145"/>
    <mergeCell ref="G141:H141"/>
    <mergeCell ref="I141:J141"/>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6:J146"/>
    <mergeCell ref="A147:J174"/>
    <mergeCell ref="A177:G177"/>
    <mergeCell ref="H177:J177"/>
    <mergeCell ref="A179:J179"/>
    <mergeCell ref="A180:D180"/>
    <mergeCell ref="E180:J181"/>
    <mergeCell ref="E182:J182"/>
    <mergeCell ref="E183:F183"/>
    <mergeCell ref="G183:H183"/>
    <mergeCell ref="I183:J183"/>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A130:D130"/>
    <mergeCell ref="B77:I79"/>
    <mergeCell ref="B81:I84"/>
    <mergeCell ref="B86:I88"/>
    <mergeCell ref="B90:I91"/>
    <mergeCell ref="A94:J101"/>
    <mergeCell ref="A103:J105"/>
    <mergeCell ref="A107:K107"/>
    <mergeCell ref="A125:G125"/>
    <mergeCell ref="H125:J125"/>
    <mergeCell ref="C41:E41"/>
    <mergeCell ref="H41:J41"/>
    <mergeCell ref="A47:J56"/>
    <mergeCell ref="A57:K58"/>
    <mergeCell ref="I64:J64"/>
    <mergeCell ref="A65:G65"/>
    <mergeCell ref="H65:J65"/>
    <mergeCell ref="B67:I69"/>
    <mergeCell ref="B71:I75"/>
    <mergeCell ref="A1:G1"/>
    <mergeCell ref="H1:J1"/>
    <mergeCell ref="A3:J7"/>
    <mergeCell ref="A9:J11"/>
    <mergeCell ref="A13:J13"/>
    <mergeCell ref="C14:E14"/>
    <mergeCell ref="H14:J14"/>
    <mergeCell ref="C20:E20"/>
    <mergeCell ref="H20:J20"/>
    <mergeCell ref="A132:D132"/>
    <mergeCell ref="E132:F132"/>
    <mergeCell ref="G132:H132"/>
    <mergeCell ref="I132:J132"/>
    <mergeCell ref="A133:D133"/>
    <mergeCell ref="E133:F133"/>
    <mergeCell ref="A134:D134"/>
    <mergeCell ref="E134:F134"/>
    <mergeCell ref="G134:H134"/>
    <mergeCell ref="I134:J134"/>
  </mergeCells>
  <dataValidations count="6">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3:G245 I243:I245 G301:G303 I301:I303 G359:G361 I359:I361 G417:G419 I417:I419 G475:G477 I475:I477 G533:G535 I533:I535 G591:G593 I591:I593 G649:G651 I649:I651 G707:G709 I707:I709 G765:G767 I765:I767 G823:G825 I823:I825 G881:G883 I881:I883" xr:uid="{00000000-0002-0000-0500-000001000000}">
      <formula1>0</formula1>
      <formula2>50000000</formula2>
    </dataValidation>
    <dataValidation type="custom" allowBlank="1" showInputMessage="1" showErrorMessage="1" prompt="Leave Blank or Describe Other Expenditure. " sqref="A139:A141 A191:A193 A243:A245 A301:A303 A359:A361 A417:A419 A475:A477 A533:A535 A591:A593 A649:A651 A707:A709 A765:A767 A823:A825 A881:A883" xr:uid="{00000000-0002-0000-0500-000002000000}">
      <formula1>AND(GTE(LEN(A139),MIN((1),(35))),LTE(LEN(A139),MAX((1),(35))))</formula1>
    </dataValidation>
    <dataValidation type="list" allowBlank="1" showInputMessage="1" showErrorMessage="1" prompt="Please select from the drop down list." sqref="E182 E234 E292 E350 E408 E466 E524 E582 E640 E698 E756 E814 E872" xr:uid="{00000000-0002-0000-0500-000003000000}">
      <formula1>Expenditures</formula1>
    </dataValidation>
    <dataValidation type="decimal" allowBlank="1" showInputMessage="1" showErrorMessage="1" prompt="Must enter amount in whole dollars." sqref="G874:G879 I874:I879 E881:E883 E139:E141 E874:E879 G132:G137 I132:I137 E191:E193 E236:E241 G236:G241 I236:I241 E243:E245 E294:E299 G294:G299 I294:I299 E301:E303 E352:E357 G352:G357 I352:I357 E359:E361 E410:E415 G410:G415 I410:I415 E417:E419 E468:E473 G468:G473 I468:I473 E475:E477 E526:E531 G526:G531 I526:I531 E533:E535 E584:E589 G584:G589 I584:I589 E591:E593 E642:E647 G642:G647 I642:I647 E649:E651 E700:E705 G700:G705 I700:I705 E707:E709 E758:E763 G758:G763 I758:I763 E765:E767 E816:E821 G816:G821 I816:I821 E823:E825 E184:E189 G184:G189 I184:I189" xr:uid="{00000000-0002-0000-0500-000004000000}">
      <formula1>0</formula1>
      <formula2>50000000</formula2>
    </dataValidation>
    <dataValidation type="whole" allowBlank="1" showInputMessage="1" showErrorMessage="1" error="Must enter amount in whole dollars." sqref="E132:F137" xr:uid="{3F8112E5-5C94-4AC2-B3FF-D3BC10F27C37}">
      <formula1>0</formula1>
      <formula2>50000000</formula2>
    </dataValidation>
  </dataValidations>
  <printOptions horizontalCentered="1"/>
  <pageMargins left="0.5" right="0.5" top="0.75" bottom="0.5" header="0" footer="0"/>
  <pageSetup orientation="portrait"/>
  <headerFooter>
    <oddFooter>&amp;L&amp;F</oddFooter>
  </headerFooter>
  <rowBreaks count="2" manualBreakCount="2">
    <brk id="123" man="1"/>
    <brk id="62"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tabSelected="1" workbookViewId="0">
      <selection activeCell="L33" sqref="L33"/>
    </sheetView>
  </sheetViews>
  <sheetFormatPr defaultColWidth="12.54296875" defaultRowHeight="15" customHeight="1"/>
  <cols>
    <col min="1" max="26" width="8.81640625" customWidth="1"/>
  </cols>
  <sheetData>
    <row r="1" spans="1:10" ht="12.75" customHeight="1">
      <c r="A1" s="207" t="s">
        <v>65</v>
      </c>
      <c r="B1" s="152"/>
      <c r="C1" s="152"/>
      <c r="D1" s="152"/>
      <c r="E1" s="152"/>
      <c r="F1" s="152"/>
      <c r="G1" s="181"/>
      <c r="H1" s="208" t="str">
        <f>'CONTACT INFORMATION'!$A$24</f>
        <v>Humboldt</v>
      </c>
      <c r="I1" s="152"/>
      <c r="J1" s="153"/>
    </row>
    <row r="2" spans="1:10" ht="12.75" customHeight="1">
      <c r="A2" s="107"/>
      <c r="B2" s="107"/>
      <c r="C2" s="107"/>
      <c r="D2" s="107"/>
      <c r="E2" s="107"/>
      <c r="F2" s="107"/>
      <c r="G2" s="107"/>
      <c r="H2" s="107"/>
      <c r="I2" s="107"/>
      <c r="J2" s="107"/>
    </row>
    <row r="3" spans="1:10" ht="12.75" customHeight="1">
      <c r="A3" s="251" t="s">
        <v>185</v>
      </c>
      <c r="B3" s="152"/>
      <c r="C3" s="152"/>
      <c r="D3" s="152"/>
      <c r="E3" s="152"/>
      <c r="F3" s="152"/>
      <c r="G3" s="152"/>
      <c r="H3" s="152"/>
      <c r="I3" s="152"/>
      <c r="J3" s="153"/>
    </row>
    <row r="4" spans="1:10" ht="12.75" customHeight="1">
      <c r="A4" s="252" t="s">
        <v>140</v>
      </c>
      <c r="B4" s="163"/>
      <c r="C4" s="163"/>
      <c r="D4" s="164"/>
      <c r="E4" s="272"/>
      <c r="F4" s="273"/>
      <c r="G4" s="273"/>
      <c r="H4" s="273"/>
      <c r="I4" s="273"/>
      <c r="J4" s="274"/>
    </row>
    <row r="5" spans="1:10" ht="12.75" customHeight="1">
      <c r="A5" s="254" t="s">
        <v>161</v>
      </c>
      <c r="B5" s="149"/>
      <c r="C5" s="149"/>
      <c r="D5" s="150"/>
      <c r="E5" s="275"/>
      <c r="F5" s="276"/>
      <c r="G5" s="276"/>
      <c r="H5" s="276"/>
      <c r="I5" s="276"/>
      <c r="J5" s="277"/>
    </row>
    <row r="6" spans="1:10" ht="12.75" customHeight="1">
      <c r="A6" s="259" t="s">
        <v>186</v>
      </c>
      <c r="B6" s="152"/>
      <c r="C6" s="152"/>
      <c r="D6" s="153"/>
      <c r="E6" s="204"/>
      <c r="F6" s="152"/>
      <c r="G6" s="152"/>
      <c r="H6" s="152"/>
      <c r="I6" s="152"/>
      <c r="J6" s="153"/>
    </row>
    <row r="7" spans="1:10" ht="12.75" customHeight="1">
      <c r="A7" s="108"/>
      <c r="B7" s="104"/>
      <c r="C7" s="104"/>
      <c r="D7" s="104"/>
      <c r="E7" s="255" t="s">
        <v>143</v>
      </c>
      <c r="F7" s="167"/>
      <c r="G7" s="255" t="s">
        <v>144</v>
      </c>
      <c r="H7" s="167"/>
      <c r="I7" s="256" t="s">
        <v>145</v>
      </c>
      <c r="J7" s="168"/>
    </row>
    <row r="8" spans="1:10" ht="12.75" customHeight="1">
      <c r="A8" s="220" t="s">
        <v>146</v>
      </c>
      <c r="B8" s="152"/>
      <c r="C8" s="152"/>
      <c r="D8" s="153"/>
      <c r="E8" s="238"/>
      <c r="F8" s="238"/>
      <c r="G8" s="239"/>
      <c r="H8" s="153"/>
      <c r="I8" s="240"/>
      <c r="J8" s="153"/>
    </row>
    <row r="9" spans="1:10" ht="12.75" customHeight="1">
      <c r="A9" s="241" t="s">
        <v>147</v>
      </c>
      <c r="B9" s="152"/>
      <c r="C9" s="152"/>
      <c r="D9" s="153"/>
      <c r="E9" s="242"/>
      <c r="F9" s="242"/>
      <c r="G9" s="257"/>
      <c r="H9" s="153"/>
      <c r="I9" s="258"/>
      <c r="J9" s="153"/>
    </row>
    <row r="10" spans="1:10" ht="12.75" customHeight="1">
      <c r="A10" s="220" t="s">
        <v>148</v>
      </c>
      <c r="B10" s="152"/>
      <c r="C10" s="152"/>
      <c r="D10" s="153"/>
      <c r="E10" s="238"/>
      <c r="F10" s="238"/>
      <c r="G10" s="239"/>
      <c r="H10" s="153"/>
      <c r="I10" s="240"/>
      <c r="J10" s="153"/>
    </row>
    <row r="11" spans="1:10" ht="12.75" customHeight="1">
      <c r="A11" s="241" t="s">
        <v>149</v>
      </c>
      <c r="B11" s="152"/>
      <c r="C11" s="152"/>
      <c r="D11" s="153"/>
      <c r="E11" s="242"/>
      <c r="F11" s="242"/>
      <c r="G11" s="257"/>
      <c r="H11" s="153"/>
      <c r="I11" s="258"/>
      <c r="J11" s="153"/>
    </row>
    <row r="12" spans="1:10" ht="12.75" customHeight="1">
      <c r="A12" s="220" t="s">
        <v>150</v>
      </c>
      <c r="B12" s="152"/>
      <c r="C12" s="152"/>
      <c r="D12" s="153"/>
      <c r="E12" s="238"/>
      <c r="F12" s="238"/>
      <c r="G12" s="239"/>
      <c r="H12" s="153"/>
      <c r="I12" s="240"/>
      <c r="J12" s="153"/>
    </row>
    <row r="13" spans="1:10" ht="12.75" customHeight="1">
      <c r="A13" s="241" t="s">
        <v>151</v>
      </c>
      <c r="B13" s="152"/>
      <c r="C13" s="152"/>
      <c r="D13" s="153"/>
      <c r="E13" s="242"/>
      <c r="F13" s="242"/>
      <c r="G13" s="257"/>
      <c r="H13" s="153"/>
      <c r="I13" s="258"/>
      <c r="J13" s="153"/>
    </row>
    <row r="14" spans="1:10" ht="12.75" customHeight="1">
      <c r="A14" s="220" t="s">
        <v>152</v>
      </c>
      <c r="B14" s="152"/>
      <c r="C14" s="152"/>
      <c r="D14" s="153"/>
      <c r="E14" s="262"/>
      <c r="F14" s="153"/>
      <c r="G14" s="262"/>
      <c r="H14" s="153"/>
      <c r="I14" s="263"/>
      <c r="J14" s="153"/>
    </row>
    <row r="15" spans="1:10" ht="12.75" customHeight="1">
      <c r="A15" s="265"/>
      <c r="B15" s="152"/>
      <c r="C15" s="152"/>
      <c r="D15" s="153"/>
      <c r="E15" s="264"/>
      <c r="F15" s="153"/>
      <c r="G15" s="257"/>
      <c r="H15" s="153"/>
      <c r="I15" s="257"/>
      <c r="J15" s="153"/>
    </row>
    <row r="16" spans="1:10" ht="12.75" customHeight="1">
      <c r="A16" s="265"/>
      <c r="B16" s="152"/>
      <c r="C16" s="152"/>
      <c r="D16" s="153"/>
      <c r="E16" s="264"/>
      <c r="F16" s="153"/>
      <c r="G16" s="257"/>
      <c r="H16" s="153"/>
      <c r="I16" s="257"/>
      <c r="J16" s="153"/>
    </row>
    <row r="17" spans="1:10" ht="12.75" customHeight="1">
      <c r="A17" s="265"/>
      <c r="B17" s="152"/>
      <c r="C17" s="152"/>
      <c r="D17" s="153"/>
      <c r="E17" s="264"/>
      <c r="F17" s="153"/>
      <c r="G17" s="257"/>
      <c r="H17" s="153"/>
      <c r="I17" s="257"/>
      <c r="J17" s="153"/>
    </row>
    <row r="18" spans="1:10" ht="12.75" customHeight="1">
      <c r="A18" s="222" t="s">
        <v>153</v>
      </c>
      <c r="B18" s="152"/>
      <c r="C18" s="152"/>
      <c r="D18" s="153"/>
      <c r="E18" s="266">
        <f>SUM(E8:E17)</f>
        <v>0</v>
      </c>
      <c r="F18" s="153"/>
      <c r="G18" s="266">
        <f>SUM(G8:G17)</f>
        <v>0</v>
      </c>
      <c r="H18" s="153"/>
      <c r="I18" s="266">
        <f>SUM(I8:I17)</f>
        <v>0</v>
      </c>
      <c r="J18" s="153"/>
    </row>
    <row r="19" spans="1:10" ht="12.75" customHeight="1">
      <c r="A19" s="267" t="s">
        <v>154</v>
      </c>
      <c r="B19" s="163"/>
      <c r="C19" s="163"/>
      <c r="D19" s="163"/>
      <c r="E19" s="163"/>
      <c r="F19" s="163"/>
      <c r="G19" s="163"/>
      <c r="H19" s="163"/>
      <c r="I19" s="163"/>
      <c r="J19" s="164"/>
    </row>
    <row r="20" spans="1:10" ht="12.75" customHeight="1">
      <c r="A20" s="268" t="s">
        <v>155</v>
      </c>
      <c r="B20" s="171"/>
      <c r="C20" s="171"/>
      <c r="D20" s="171"/>
      <c r="E20" s="171"/>
      <c r="F20" s="171"/>
      <c r="G20" s="171"/>
      <c r="H20" s="171"/>
      <c r="I20" s="171"/>
      <c r="J20" s="172"/>
    </row>
    <row r="21" spans="1:10" ht="12.75" customHeight="1">
      <c r="A21" s="268" t="s">
        <v>156</v>
      </c>
      <c r="B21" s="171"/>
      <c r="C21" s="171"/>
      <c r="D21" s="171"/>
      <c r="E21" s="171"/>
      <c r="F21" s="171"/>
      <c r="G21" s="171"/>
      <c r="H21" s="171"/>
      <c r="I21" s="171"/>
      <c r="J21" s="172"/>
    </row>
    <row r="22" spans="1:10" ht="12.75" customHeight="1">
      <c r="A22" s="260" t="s">
        <v>157</v>
      </c>
      <c r="B22" s="149"/>
      <c r="C22" s="149"/>
      <c r="D22" s="149"/>
      <c r="E22" s="149"/>
      <c r="F22" s="149"/>
      <c r="G22" s="149"/>
      <c r="H22" s="149"/>
      <c r="I22" s="149"/>
      <c r="J22" s="150"/>
    </row>
    <row r="23" spans="1:10" ht="12.75" customHeight="1">
      <c r="A23" s="196"/>
      <c r="B23" s="197"/>
      <c r="C23" s="197"/>
      <c r="D23" s="197"/>
      <c r="E23" s="197"/>
      <c r="F23" s="197"/>
      <c r="G23" s="197"/>
      <c r="H23" s="197"/>
      <c r="I23" s="197"/>
      <c r="J23" s="198"/>
    </row>
    <row r="24" spans="1:10" ht="12.75" customHeight="1">
      <c r="A24" s="158"/>
      <c r="B24" s="156"/>
      <c r="C24" s="156"/>
      <c r="D24" s="156"/>
      <c r="E24" s="156"/>
      <c r="F24" s="156"/>
      <c r="G24" s="156"/>
      <c r="H24" s="156"/>
      <c r="I24" s="156"/>
      <c r="J24" s="157"/>
    </row>
    <row r="25" spans="1:10" ht="12.75" customHeight="1">
      <c r="A25" s="158"/>
      <c r="B25" s="156"/>
      <c r="C25" s="156"/>
      <c r="D25" s="156"/>
      <c r="E25" s="156"/>
      <c r="F25" s="156"/>
      <c r="G25" s="156"/>
      <c r="H25" s="156"/>
      <c r="I25" s="156"/>
      <c r="J25" s="157"/>
    </row>
    <row r="26" spans="1:10" ht="12.75" customHeight="1">
      <c r="A26" s="158"/>
      <c r="B26" s="156"/>
      <c r="C26" s="156"/>
      <c r="D26" s="156"/>
      <c r="E26" s="156"/>
      <c r="F26" s="156"/>
      <c r="G26" s="156"/>
      <c r="H26" s="156"/>
      <c r="I26" s="156"/>
      <c r="J26" s="157"/>
    </row>
    <row r="27" spans="1:10" ht="12.75" customHeight="1">
      <c r="A27" s="158"/>
      <c r="B27" s="156"/>
      <c r="C27" s="156"/>
      <c r="D27" s="156"/>
      <c r="E27" s="156"/>
      <c r="F27" s="156"/>
      <c r="G27" s="156"/>
      <c r="H27" s="156"/>
      <c r="I27" s="156"/>
      <c r="J27" s="157"/>
    </row>
    <row r="28" spans="1:10" ht="12.75" customHeight="1">
      <c r="A28" s="158"/>
      <c r="B28" s="156"/>
      <c r="C28" s="156"/>
      <c r="D28" s="156"/>
      <c r="E28" s="156"/>
      <c r="F28" s="156"/>
      <c r="G28" s="156"/>
      <c r="H28" s="156"/>
      <c r="I28" s="156"/>
      <c r="J28" s="157"/>
    </row>
    <row r="29" spans="1:10" ht="12.75" customHeight="1">
      <c r="A29" s="158"/>
      <c r="B29" s="156"/>
      <c r="C29" s="156"/>
      <c r="D29" s="156"/>
      <c r="E29" s="156"/>
      <c r="F29" s="156"/>
      <c r="G29" s="156"/>
      <c r="H29" s="156"/>
      <c r="I29" s="156"/>
      <c r="J29" s="157"/>
    </row>
    <row r="30" spans="1:10" ht="12.75" customHeight="1">
      <c r="A30" s="158"/>
      <c r="B30" s="156"/>
      <c r="C30" s="156"/>
      <c r="D30" s="156"/>
      <c r="E30" s="156"/>
      <c r="F30" s="156"/>
      <c r="G30" s="156"/>
      <c r="H30" s="156"/>
      <c r="I30" s="156"/>
      <c r="J30" s="157"/>
    </row>
    <row r="31" spans="1:10" ht="12.75" customHeight="1">
      <c r="A31" s="158"/>
      <c r="B31" s="156"/>
      <c r="C31" s="156"/>
      <c r="D31" s="156"/>
      <c r="E31" s="156"/>
      <c r="F31" s="156"/>
      <c r="G31" s="156"/>
      <c r="H31" s="156"/>
      <c r="I31" s="156"/>
      <c r="J31" s="157"/>
    </row>
    <row r="32" spans="1:10" ht="12.75" customHeight="1">
      <c r="A32" s="158"/>
      <c r="B32" s="156"/>
      <c r="C32" s="156"/>
      <c r="D32" s="156"/>
      <c r="E32" s="156"/>
      <c r="F32" s="156"/>
      <c r="G32" s="156"/>
      <c r="H32" s="156"/>
      <c r="I32" s="156"/>
      <c r="J32" s="157"/>
    </row>
    <row r="33" spans="1:10" ht="12.75" customHeight="1">
      <c r="A33" s="158"/>
      <c r="B33" s="156"/>
      <c r="C33" s="156"/>
      <c r="D33" s="156"/>
      <c r="E33" s="156"/>
      <c r="F33" s="156"/>
      <c r="G33" s="156"/>
      <c r="H33" s="156"/>
      <c r="I33" s="156"/>
      <c r="J33" s="157"/>
    </row>
    <row r="34" spans="1:10" ht="12.75" customHeight="1">
      <c r="A34" s="158"/>
      <c r="B34" s="156"/>
      <c r="C34" s="156"/>
      <c r="D34" s="156"/>
      <c r="E34" s="156"/>
      <c r="F34" s="156"/>
      <c r="G34" s="156"/>
      <c r="H34" s="156"/>
      <c r="I34" s="156"/>
      <c r="J34" s="157"/>
    </row>
    <row r="35" spans="1:10" ht="12.75" customHeight="1">
      <c r="A35" s="158"/>
      <c r="B35" s="156"/>
      <c r="C35" s="156"/>
      <c r="D35" s="156"/>
      <c r="E35" s="156"/>
      <c r="F35" s="156"/>
      <c r="G35" s="156"/>
      <c r="H35" s="156"/>
      <c r="I35" s="156"/>
      <c r="J35" s="157"/>
    </row>
    <row r="36" spans="1:10" ht="12.75" customHeight="1">
      <c r="A36" s="158"/>
      <c r="B36" s="156"/>
      <c r="C36" s="156"/>
      <c r="D36" s="156"/>
      <c r="E36" s="156"/>
      <c r="F36" s="156"/>
      <c r="G36" s="156"/>
      <c r="H36" s="156"/>
      <c r="I36" s="156"/>
      <c r="J36" s="157"/>
    </row>
    <row r="37" spans="1:10" ht="12.75" customHeight="1">
      <c r="A37" s="158"/>
      <c r="B37" s="156"/>
      <c r="C37" s="156"/>
      <c r="D37" s="156"/>
      <c r="E37" s="156"/>
      <c r="F37" s="156"/>
      <c r="G37" s="156"/>
      <c r="H37" s="156"/>
      <c r="I37" s="156"/>
      <c r="J37" s="157"/>
    </row>
    <row r="38" spans="1:10" ht="12.75" customHeight="1">
      <c r="A38" s="158"/>
      <c r="B38" s="156"/>
      <c r="C38" s="156"/>
      <c r="D38" s="156"/>
      <c r="E38" s="156"/>
      <c r="F38" s="156"/>
      <c r="G38" s="156"/>
      <c r="H38" s="156"/>
      <c r="I38" s="156"/>
      <c r="J38" s="157"/>
    </row>
    <row r="39" spans="1:10" ht="12.75" customHeight="1">
      <c r="A39" s="158"/>
      <c r="B39" s="156"/>
      <c r="C39" s="156"/>
      <c r="D39" s="156"/>
      <c r="E39" s="156"/>
      <c r="F39" s="156"/>
      <c r="G39" s="156"/>
      <c r="H39" s="156"/>
      <c r="I39" s="156"/>
      <c r="J39" s="157"/>
    </row>
    <row r="40" spans="1:10" ht="12.75" customHeight="1">
      <c r="A40" s="158"/>
      <c r="B40" s="156"/>
      <c r="C40" s="156"/>
      <c r="D40" s="156"/>
      <c r="E40" s="156"/>
      <c r="F40" s="156"/>
      <c r="G40" s="156"/>
      <c r="H40" s="156"/>
      <c r="I40" s="156"/>
      <c r="J40" s="157"/>
    </row>
    <row r="41" spans="1:10" ht="12.75" customHeight="1">
      <c r="A41" s="158"/>
      <c r="B41" s="156"/>
      <c r="C41" s="156"/>
      <c r="D41" s="156"/>
      <c r="E41" s="156"/>
      <c r="F41" s="156"/>
      <c r="G41" s="156"/>
      <c r="H41" s="156"/>
      <c r="I41" s="156"/>
      <c r="J41" s="157"/>
    </row>
    <row r="42" spans="1:10" ht="12.75" customHeight="1">
      <c r="A42" s="158"/>
      <c r="B42" s="156"/>
      <c r="C42" s="156"/>
      <c r="D42" s="156"/>
      <c r="E42" s="156"/>
      <c r="F42" s="156"/>
      <c r="G42" s="156"/>
      <c r="H42" s="156"/>
      <c r="I42" s="156"/>
      <c r="J42" s="157"/>
    </row>
    <row r="43" spans="1:10" ht="12.75" customHeight="1">
      <c r="A43" s="158"/>
      <c r="B43" s="156"/>
      <c r="C43" s="156"/>
      <c r="D43" s="156"/>
      <c r="E43" s="156"/>
      <c r="F43" s="156"/>
      <c r="G43" s="156"/>
      <c r="H43" s="156"/>
      <c r="I43" s="156"/>
      <c r="J43" s="157"/>
    </row>
    <row r="44" spans="1:10" ht="12.75" customHeight="1">
      <c r="A44" s="158"/>
      <c r="B44" s="156"/>
      <c r="C44" s="156"/>
      <c r="D44" s="156"/>
      <c r="E44" s="156"/>
      <c r="F44" s="156"/>
      <c r="G44" s="156"/>
      <c r="H44" s="156"/>
      <c r="I44" s="156"/>
      <c r="J44" s="157"/>
    </row>
    <row r="45" spans="1:10" ht="12.75" customHeight="1">
      <c r="A45" s="158"/>
      <c r="B45" s="156"/>
      <c r="C45" s="156"/>
      <c r="D45" s="156"/>
      <c r="E45" s="156"/>
      <c r="F45" s="156"/>
      <c r="G45" s="156"/>
      <c r="H45" s="156"/>
      <c r="I45" s="156"/>
      <c r="J45" s="157"/>
    </row>
    <row r="46" spans="1:10" ht="12.75" customHeight="1">
      <c r="A46" s="158"/>
      <c r="B46" s="156"/>
      <c r="C46" s="156"/>
      <c r="D46" s="156"/>
      <c r="E46" s="156"/>
      <c r="F46" s="156"/>
      <c r="G46" s="156"/>
      <c r="H46" s="156"/>
      <c r="I46" s="156"/>
      <c r="J46" s="157"/>
    </row>
    <row r="47" spans="1:10" ht="12.75" customHeight="1">
      <c r="A47" s="158"/>
      <c r="B47" s="156"/>
      <c r="C47" s="156"/>
      <c r="D47" s="156"/>
      <c r="E47" s="156"/>
      <c r="F47" s="156"/>
      <c r="G47" s="156"/>
      <c r="H47" s="156"/>
      <c r="I47" s="156"/>
      <c r="J47" s="157"/>
    </row>
    <row r="48" spans="1:10" ht="12.75" customHeight="1">
      <c r="A48" s="158"/>
      <c r="B48" s="156"/>
      <c r="C48" s="156"/>
      <c r="D48" s="156"/>
      <c r="E48" s="156"/>
      <c r="F48" s="156"/>
      <c r="G48" s="156"/>
      <c r="H48" s="156"/>
      <c r="I48" s="156"/>
      <c r="J48" s="157"/>
    </row>
    <row r="49" spans="1:10" ht="12.75" customHeight="1">
      <c r="A49" s="158"/>
      <c r="B49" s="156"/>
      <c r="C49" s="156"/>
      <c r="D49" s="156"/>
      <c r="E49" s="156"/>
      <c r="F49" s="156"/>
      <c r="G49" s="156"/>
      <c r="H49" s="156"/>
      <c r="I49" s="156"/>
      <c r="J49" s="157"/>
    </row>
    <row r="50" spans="1:10" ht="12.75" customHeight="1">
      <c r="A50" s="158"/>
      <c r="B50" s="156"/>
      <c r="C50" s="156"/>
      <c r="D50" s="156"/>
      <c r="E50" s="156"/>
      <c r="F50" s="156"/>
      <c r="G50" s="156"/>
      <c r="H50" s="156"/>
      <c r="I50" s="156"/>
      <c r="J50" s="157"/>
    </row>
    <row r="51" spans="1:10" ht="12.75" customHeight="1">
      <c r="A51" s="158"/>
      <c r="B51" s="156"/>
      <c r="C51" s="156"/>
      <c r="D51" s="156"/>
      <c r="E51" s="156"/>
      <c r="F51" s="156"/>
      <c r="G51" s="156"/>
      <c r="H51" s="156"/>
      <c r="I51" s="156"/>
      <c r="J51" s="157"/>
    </row>
    <row r="52" spans="1:10" ht="12.75" customHeight="1">
      <c r="A52" s="158"/>
      <c r="B52" s="156"/>
      <c r="C52" s="156"/>
      <c r="D52" s="156"/>
      <c r="E52" s="156"/>
      <c r="F52" s="156"/>
      <c r="G52" s="156"/>
      <c r="H52" s="156"/>
      <c r="I52" s="156"/>
      <c r="J52" s="157"/>
    </row>
    <row r="53" spans="1:10" ht="12.75" customHeight="1">
      <c r="A53" s="158"/>
      <c r="B53" s="156"/>
      <c r="C53" s="156"/>
      <c r="D53" s="156"/>
      <c r="E53" s="156"/>
      <c r="F53" s="156"/>
      <c r="G53" s="156"/>
      <c r="H53" s="156"/>
      <c r="I53" s="156"/>
      <c r="J53" s="157"/>
    </row>
    <row r="54" spans="1:10" ht="12.75" customHeight="1">
      <c r="A54" s="199"/>
      <c r="B54" s="167"/>
      <c r="C54" s="167"/>
      <c r="D54" s="167"/>
      <c r="E54" s="167"/>
      <c r="F54" s="167"/>
      <c r="G54" s="167"/>
      <c r="H54" s="167"/>
      <c r="I54" s="167"/>
      <c r="J54" s="168"/>
    </row>
    <row r="55" spans="1:10" ht="12.75" customHeight="1">
      <c r="A55" s="111"/>
      <c r="B55" s="111"/>
      <c r="C55" s="111"/>
      <c r="D55" s="111"/>
      <c r="E55" s="111"/>
      <c r="F55" s="111"/>
      <c r="G55" s="111"/>
      <c r="H55" s="111"/>
      <c r="I55" s="111"/>
      <c r="J55" s="111"/>
    </row>
    <row r="56" spans="1:10" ht="12.75" customHeight="1">
      <c r="A56" s="207" t="s">
        <v>65</v>
      </c>
      <c r="B56" s="152"/>
      <c r="C56" s="152"/>
      <c r="D56" s="152"/>
      <c r="E56" s="152"/>
      <c r="F56" s="152"/>
      <c r="G56" s="181"/>
      <c r="H56" s="208" t="str">
        <f>'CONTACT INFORMATION'!$A$24</f>
        <v>Humboldt</v>
      </c>
      <c r="I56" s="152"/>
      <c r="J56" s="153"/>
    </row>
    <row r="57" spans="1:10" ht="12.75" customHeight="1">
      <c r="A57" s="107"/>
      <c r="B57" s="107"/>
      <c r="C57" s="107"/>
      <c r="D57" s="107"/>
      <c r="E57" s="107"/>
      <c r="F57" s="107"/>
      <c r="G57" s="107"/>
      <c r="H57" s="107"/>
      <c r="I57" s="107"/>
      <c r="J57" s="107"/>
    </row>
    <row r="58" spans="1:10" ht="12.75" customHeight="1">
      <c r="A58" s="251" t="s">
        <v>187</v>
      </c>
      <c r="B58" s="152"/>
      <c r="C58" s="152"/>
      <c r="D58" s="152"/>
      <c r="E58" s="152"/>
      <c r="F58" s="152"/>
      <c r="G58" s="152"/>
      <c r="H58" s="152"/>
      <c r="I58" s="152"/>
      <c r="J58" s="153"/>
    </row>
    <row r="59" spans="1:10" ht="12.75" customHeight="1">
      <c r="A59" s="252" t="s">
        <v>140</v>
      </c>
      <c r="B59" s="163"/>
      <c r="C59" s="163"/>
      <c r="D59" s="164"/>
      <c r="E59" s="272" t="s">
        <v>961</v>
      </c>
      <c r="F59" s="273"/>
      <c r="G59" s="273"/>
      <c r="H59" s="273"/>
      <c r="I59" s="273"/>
      <c r="J59" s="274"/>
    </row>
    <row r="60" spans="1:10" ht="12.75" customHeight="1">
      <c r="A60" s="254" t="s">
        <v>161</v>
      </c>
      <c r="B60" s="149"/>
      <c r="C60" s="149"/>
      <c r="D60" s="150"/>
      <c r="E60" s="275"/>
      <c r="F60" s="276"/>
      <c r="G60" s="276"/>
      <c r="H60" s="276"/>
      <c r="I60" s="276"/>
      <c r="J60" s="277"/>
    </row>
    <row r="61" spans="1:10" ht="12.75" customHeight="1">
      <c r="A61" s="259" t="s">
        <v>188</v>
      </c>
      <c r="B61" s="152"/>
      <c r="C61" s="152"/>
      <c r="D61" s="153"/>
      <c r="E61" s="204"/>
      <c r="F61" s="152"/>
      <c r="G61" s="152"/>
      <c r="H61" s="152"/>
      <c r="I61" s="152"/>
      <c r="J61" s="153"/>
    </row>
    <row r="62" spans="1:10" ht="12.75" customHeight="1">
      <c r="A62" s="108"/>
      <c r="B62" s="104"/>
      <c r="C62" s="104"/>
      <c r="D62" s="104"/>
      <c r="E62" s="255" t="s">
        <v>143</v>
      </c>
      <c r="F62" s="167"/>
      <c r="G62" s="255" t="s">
        <v>144</v>
      </c>
      <c r="H62" s="167"/>
      <c r="I62" s="256" t="s">
        <v>145</v>
      </c>
      <c r="J62" s="168"/>
    </row>
    <row r="63" spans="1:10" ht="12.75" customHeight="1">
      <c r="A63" s="220" t="s">
        <v>146</v>
      </c>
      <c r="B63" s="152"/>
      <c r="C63" s="152"/>
      <c r="D63" s="153"/>
      <c r="E63" s="239"/>
      <c r="F63" s="153"/>
      <c r="G63" s="239"/>
      <c r="H63" s="153"/>
      <c r="I63" s="240"/>
      <c r="J63" s="153"/>
    </row>
    <row r="64" spans="1:10" ht="12.75" customHeight="1">
      <c r="A64" s="241" t="s">
        <v>147</v>
      </c>
      <c r="B64" s="152"/>
      <c r="C64" s="152"/>
      <c r="D64" s="153"/>
      <c r="E64" s="264"/>
      <c r="F64" s="153"/>
      <c r="G64" s="257"/>
      <c r="H64" s="153"/>
      <c r="I64" s="258"/>
      <c r="J64" s="153"/>
    </row>
    <row r="65" spans="1:10" ht="12.75" customHeight="1">
      <c r="A65" s="220" t="s">
        <v>148</v>
      </c>
      <c r="B65" s="152"/>
      <c r="C65" s="152"/>
      <c r="D65" s="153"/>
      <c r="E65" s="239"/>
      <c r="F65" s="153"/>
      <c r="G65" s="239"/>
      <c r="H65" s="153"/>
      <c r="I65" s="240"/>
      <c r="J65" s="153"/>
    </row>
    <row r="66" spans="1:10" ht="12.75" customHeight="1">
      <c r="A66" s="241" t="s">
        <v>149</v>
      </c>
      <c r="B66" s="152"/>
      <c r="C66" s="152"/>
      <c r="D66" s="153"/>
      <c r="E66" s="264"/>
      <c r="F66" s="153"/>
      <c r="G66" s="257"/>
      <c r="H66" s="153"/>
      <c r="I66" s="258"/>
      <c r="J66" s="153"/>
    </row>
    <row r="67" spans="1:10" ht="12.75" customHeight="1">
      <c r="A67" s="220" t="s">
        <v>150</v>
      </c>
      <c r="B67" s="152"/>
      <c r="C67" s="152"/>
      <c r="D67" s="153"/>
      <c r="E67" s="239"/>
      <c r="F67" s="153"/>
      <c r="G67" s="239"/>
      <c r="H67" s="153"/>
      <c r="I67" s="240"/>
      <c r="J67" s="153"/>
    </row>
    <row r="68" spans="1:10" ht="12.75" customHeight="1">
      <c r="A68" s="241" t="s">
        <v>151</v>
      </c>
      <c r="B68" s="152"/>
      <c r="C68" s="152"/>
      <c r="D68" s="153"/>
      <c r="E68" s="264"/>
      <c r="F68" s="153"/>
      <c r="G68" s="257"/>
      <c r="H68" s="153"/>
      <c r="I68" s="258"/>
      <c r="J68" s="153"/>
    </row>
    <row r="69" spans="1:10" ht="12.75" customHeight="1">
      <c r="A69" s="220" t="s">
        <v>152</v>
      </c>
      <c r="B69" s="152"/>
      <c r="C69" s="152"/>
      <c r="D69" s="153"/>
      <c r="E69" s="262"/>
      <c r="F69" s="153"/>
      <c r="G69" s="262"/>
      <c r="H69" s="153"/>
      <c r="I69" s="263"/>
      <c r="J69" s="153"/>
    </row>
    <row r="70" spans="1:10" ht="12.75" customHeight="1">
      <c r="A70" s="265"/>
      <c r="B70" s="152"/>
      <c r="C70" s="152"/>
      <c r="D70" s="153"/>
      <c r="E70" s="264"/>
      <c r="F70" s="153"/>
      <c r="G70" s="257"/>
      <c r="H70" s="153"/>
      <c r="I70" s="257"/>
      <c r="J70" s="153"/>
    </row>
    <row r="71" spans="1:10" ht="12.75" customHeight="1">
      <c r="A71" s="265"/>
      <c r="B71" s="152"/>
      <c r="C71" s="152"/>
      <c r="D71" s="153"/>
      <c r="E71" s="264"/>
      <c r="F71" s="153"/>
      <c r="G71" s="257"/>
      <c r="H71" s="153"/>
      <c r="I71" s="257"/>
      <c r="J71" s="153"/>
    </row>
    <row r="72" spans="1:10" ht="12.75" customHeight="1">
      <c r="A72" s="265"/>
      <c r="B72" s="152"/>
      <c r="C72" s="152"/>
      <c r="D72" s="153"/>
      <c r="E72" s="264"/>
      <c r="F72" s="153"/>
      <c r="G72" s="257"/>
      <c r="H72" s="153"/>
      <c r="I72" s="257"/>
      <c r="J72" s="153"/>
    </row>
    <row r="73" spans="1:10" ht="12.75" customHeight="1">
      <c r="A73" s="222" t="s">
        <v>153</v>
      </c>
      <c r="B73" s="152"/>
      <c r="C73" s="152"/>
      <c r="D73" s="153"/>
      <c r="E73" s="266">
        <f>SUM(E63:E72)</f>
        <v>0</v>
      </c>
      <c r="F73" s="153"/>
      <c r="G73" s="266">
        <f>SUM(G63:G72)</f>
        <v>0</v>
      </c>
      <c r="H73" s="153"/>
      <c r="I73" s="266">
        <f>SUM(I63:I72)</f>
        <v>0</v>
      </c>
      <c r="J73" s="153"/>
    </row>
    <row r="74" spans="1:10" ht="12.75" customHeight="1">
      <c r="A74" s="267" t="s">
        <v>154</v>
      </c>
      <c r="B74" s="163"/>
      <c r="C74" s="163"/>
      <c r="D74" s="163"/>
      <c r="E74" s="163"/>
      <c r="F74" s="163"/>
      <c r="G74" s="163"/>
      <c r="H74" s="163"/>
      <c r="I74" s="163"/>
      <c r="J74" s="164"/>
    </row>
    <row r="75" spans="1:10" ht="12.75" customHeight="1">
      <c r="A75" s="268" t="s">
        <v>155</v>
      </c>
      <c r="B75" s="171"/>
      <c r="C75" s="171"/>
      <c r="D75" s="171"/>
      <c r="E75" s="171"/>
      <c r="F75" s="171"/>
      <c r="G75" s="171"/>
      <c r="H75" s="171"/>
      <c r="I75" s="171"/>
      <c r="J75" s="172"/>
    </row>
    <row r="76" spans="1:10" ht="12.75" customHeight="1">
      <c r="A76" s="268" t="s">
        <v>156</v>
      </c>
      <c r="B76" s="171"/>
      <c r="C76" s="171"/>
      <c r="D76" s="171"/>
      <c r="E76" s="171"/>
      <c r="F76" s="171"/>
      <c r="G76" s="171"/>
      <c r="H76" s="171"/>
      <c r="I76" s="171"/>
      <c r="J76" s="172"/>
    </row>
    <row r="77" spans="1:10" ht="12.75" customHeight="1">
      <c r="A77" s="260" t="s">
        <v>157</v>
      </c>
      <c r="B77" s="149"/>
      <c r="C77" s="149"/>
      <c r="D77" s="149"/>
      <c r="E77" s="149"/>
      <c r="F77" s="149"/>
      <c r="G77" s="149"/>
      <c r="H77" s="149"/>
      <c r="I77" s="149"/>
      <c r="J77" s="150"/>
    </row>
    <row r="78" spans="1:10" ht="12.75" customHeight="1">
      <c r="A78" s="196"/>
      <c r="B78" s="197"/>
      <c r="C78" s="197"/>
      <c r="D78" s="197"/>
      <c r="E78" s="197"/>
      <c r="F78" s="197"/>
      <c r="G78" s="197"/>
      <c r="H78" s="197"/>
      <c r="I78" s="197"/>
      <c r="J78" s="198"/>
    </row>
    <row r="79" spans="1:10" ht="12.75" customHeight="1">
      <c r="A79" s="158"/>
      <c r="B79" s="156"/>
      <c r="C79" s="156"/>
      <c r="D79" s="156"/>
      <c r="E79" s="156"/>
      <c r="F79" s="156"/>
      <c r="G79" s="156"/>
      <c r="H79" s="156"/>
      <c r="I79" s="156"/>
      <c r="J79" s="157"/>
    </row>
    <row r="80" spans="1:10" ht="12.75" customHeight="1">
      <c r="A80" s="158"/>
      <c r="B80" s="156"/>
      <c r="C80" s="156"/>
      <c r="D80" s="156"/>
      <c r="E80" s="156"/>
      <c r="F80" s="156"/>
      <c r="G80" s="156"/>
      <c r="H80" s="156"/>
      <c r="I80" s="156"/>
      <c r="J80" s="157"/>
    </row>
    <row r="81" spans="1:10" ht="12.75" customHeight="1">
      <c r="A81" s="158"/>
      <c r="B81" s="156"/>
      <c r="C81" s="156"/>
      <c r="D81" s="156"/>
      <c r="E81" s="156"/>
      <c r="F81" s="156"/>
      <c r="G81" s="156"/>
      <c r="H81" s="156"/>
      <c r="I81" s="156"/>
      <c r="J81" s="157"/>
    </row>
    <row r="82" spans="1:10" ht="12.75" customHeight="1">
      <c r="A82" s="158"/>
      <c r="B82" s="156"/>
      <c r="C82" s="156"/>
      <c r="D82" s="156"/>
      <c r="E82" s="156"/>
      <c r="F82" s="156"/>
      <c r="G82" s="156"/>
      <c r="H82" s="156"/>
      <c r="I82" s="156"/>
      <c r="J82" s="157"/>
    </row>
    <row r="83" spans="1:10" ht="12.75" customHeight="1">
      <c r="A83" s="158"/>
      <c r="B83" s="156"/>
      <c r="C83" s="156"/>
      <c r="D83" s="156"/>
      <c r="E83" s="156"/>
      <c r="F83" s="156"/>
      <c r="G83" s="156"/>
      <c r="H83" s="156"/>
      <c r="I83" s="156"/>
      <c r="J83" s="157"/>
    </row>
    <row r="84" spans="1:10" ht="12.75" customHeight="1">
      <c r="A84" s="158"/>
      <c r="B84" s="156"/>
      <c r="C84" s="156"/>
      <c r="D84" s="156"/>
      <c r="E84" s="156"/>
      <c r="F84" s="156"/>
      <c r="G84" s="156"/>
      <c r="H84" s="156"/>
      <c r="I84" s="156"/>
      <c r="J84" s="157"/>
    </row>
    <row r="85" spans="1:10" ht="12.75" customHeight="1">
      <c r="A85" s="158"/>
      <c r="B85" s="156"/>
      <c r="C85" s="156"/>
      <c r="D85" s="156"/>
      <c r="E85" s="156"/>
      <c r="F85" s="156"/>
      <c r="G85" s="156"/>
      <c r="H85" s="156"/>
      <c r="I85" s="156"/>
      <c r="J85" s="157"/>
    </row>
    <row r="86" spans="1:10" ht="12.75" customHeight="1">
      <c r="A86" s="158"/>
      <c r="B86" s="156"/>
      <c r="C86" s="156"/>
      <c r="D86" s="156"/>
      <c r="E86" s="156"/>
      <c r="F86" s="156"/>
      <c r="G86" s="156"/>
      <c r="H86" s="156"/>
      <c r="I86" s="156"/>
      <c r="J86" s="157"/>
    </row>
    <row r="87" spans="1:10" ht="12.75" customHeight="1">
      <c r="A87" s="158"/>
      <c r="B87" s="156"/>
      <c r="C87" s="156"/>
      <c r="D87" s="156"/>
      <c r="E87" s="156"/>
      <c r="F87" s="156"/>
      <c r="G87" s="156"/>
      <c r="H87" s="156"/>
      <c r="I87" s="156"/>
      <c r="J87" s="157"/>
    </row>
    <row r="88" spans="1:10" ht="12.75" customHeight="1">
      <c r="A88" s="158"/>
      <c r="B88" s="156"/>
      <c r="C88" s="156"/>
      <c r="D88" s="156"/>
      <c r="E88" s="156"/>
      <c r="F88" s="156"/>
      <c r="G88" s="156"/>
      <c r="H88" s="156"/>
      <c r="I88" s="156"/>
      <c r="J88" s="157"/>
    </row>
    <row r="89" spans="1:10" ht="12.75" customHeight="1">
      <c r="A89" s="158"/>
      <c r="B89" s="156"/>
      <c r="C89" s="156"/>
      <c r="D89" s="156"/>
      <c r="E89" s="156"/>
      <c r="F89" s="156"/>
      <c r="G89" s="156"/>
      <c r="H89" s="156"/>
      <c r="I89" s="156"/>
      <c r="J89" s="157"/>
    </row>
    <row r="90" spans="1:10" ht="12.75" customHeight="1">
      <c r="A90" s="158"/>
      <c r="B90" s="156"/>
      <c r="C90" s="156"/>
      <c r="D90" s="156"/>
      <c r="E90" s="156"/>
      <c r="F90" s="156"/>
      <c r="G90" s="156"/>
      <c r="H90" s="156"/>
      <c r="I90" s="156"/>
      <c r="J90" s="157"/>
    </row>
    <row r="91" spans="1:10" ht="12.75" customHeight="1">
      <c r="A91" s="158"/>
      <c r="B91" s="156"/>
      <c r="C91" s="156"/>
      <c r="D91" s="156"/>
      <c r="E91" s="156"/>
      <c r="F91" s="156"/>
      <c r="G91" s="156"/>
      <c r="H91" s="156"/>
      <c r="I91" s="156"/>
      <c r="J91" s="157"/>
    </row>
    <row r="92" spans="1:10" ht="12.75" customHeight="1">
      <c r="A92" s="158"/>
      <c r="B92" s="156"/>
      <c r="C92" s="156"/>
      <c r="D92" s="156"/>
      <c r="E92" s="156"/>
      <c r="F92" s="156"/>
      <c r="G92" s="156"/>
      <c r="H92" s="156"/>
      <c r="I92" s="156"/>
      <c r="J92" s="157"/>
    </row>
    <row r="93" spans="1:10" ht="12.75" customHeight="1">
      <c r="A93" s="158"/>
      <c r="B93" s="156"/>
      <c r="C93" s="156"/>
      <c r="D93" s="156"/>
      <c r="E93" s="156"/>
      <c r="F93" s="156"/>
      <c r="G93" s="156"/>
      <c r="H93" s="156"/>
      <c r="I93" s="156"/>
      <c r="J93" s="157"/>
    </row>
    <row r="94" spans="1:10" ht="12.75" customHeight="1">
      <c r="A94" s="158"/>
      <c r="B94" s="156"/>
      <c r="C94" s="156"/>
      <c r="D94" s="156"/>
      <c r="E94" s="156"/>
      <c r="F94" s="156"/>
      <c r="G94" s="156"/>
      <c r="H94" s="156"/>
      <c r="I94" s="156"/>
      <c r="J94" s="157"/>
    </row>
    <row r="95" spans="1:10" ht="12.75" customHeight="1">
      <c r="A95" s="158"/>
      <c r="B95" s="156"/>
      <c r="C95" s="156"/>
      <c r="D95" s="156"/>
      <c r="E95" s="156"/>
      <c r="F95" s="156"/>
      <c r="G95" s="156"/>
      <c r="H95" s="156"/>
      <c r="I95" s="156"/>
      <c r="J95" s="157"/>
    </row>
    <row r="96" spans="1:10" ht="12.75" customHeight="1">
      <c r="A96" s="158"/>
      <c r="B96" s="156"/>
      <c r="C96" s="156"/>
      <c r="D96" s="156"/>
      <c r="E96" s="156"/>
      <c r="F96" s="156"/>
      <c r="G96" s="156"/>
      <c r="H96" s="156"/>
      <c r="I96" s="156"/>
      <c r="J96" s="157"/>
    </row>
    <row r="97" spans="1:10" ht="12.75" customHeight="1">
      <c r="A97" s="158"/>
      <c r="B97" s="156"/>
      <c r="C97" s="156"/>
      <c r="D97" s="156"/>
      <c r="E97" s="156"/>
      <c r="F97" s="156"/>
      <c r="G97" s="156"/>
      <c r="H97" s="156"/>
      <c r="I97" s="156"/>
      <c r="J97" s="157"/>
    </row>
    <row r="98" spans="1:10" ht="12.75" customHeight="1">
      <c r="A98" s="158"/>
      <c r="B98" s="156"/>
      <c r="C98" s="156"/>
      <c r="D98" s="156"/>
      <c r="E98" s="156"/>
      <c r="F98" s="156"/>
      <c r="G98" s="156"/>
      <c r="H98" s="156"/>
      <c r="I98" s="156"/>
      <c r="J98" s="157"/>
    </row>
    <row r="99" spans="1:10" ht="12.75" customHeight="1">
      <c r="A99" s="158"/>
      <c r="B99" s="156"/>
      <c r="C99" s="156"/>
      <c r="D99" s="156"/>
      <c r="E99" s="156"/>
      <c r="F99" s="156"/>
      <c r="G99" s="156"/>
      <c r="H99" s="156"/>
      <c r="I99" s="156"/>
      <c r="J99" s="157"/>
    </row>
    <row r="100" spans="1:10" ht="12.75" customHeight="1">
      <c r="A100" s="158"/>
      <c r="B100" s="156"/>
      <c r="C100" s="156"/>
      <c r="D100" s="156"/>
      <c r="E100" s="156"/>
      <c r="F100" s="156"/>
      <c r="G100" s="156"/>
      <c r="H100" s="156"/>
      <c r="I100" s="156"/>
      <c r="J100" s="157"/>
    </row>
    <row r="101" spans="1:10" ht="12.75" customHeight="1">
      <c r="A101" s="158"/>
      <c r="B101" s="156"/>
      <c r="C101" s="156"/>
      <c r="D101" s="156"/>
      <c r="E101" s="156"/>
      <c r="F101" s="156"/>
      <c r="G101" s="156"/>
      <c r="H101" s="156"/>
      <c r="I101" s="156"/>
      <c r="J101" s="157"/>
    </row>
    <row r="102" spans="1:10" ht="12.75" customHeight="1">
      <c r="A102" s="158"/>
      <c r="B102" s="156"/>
      <c r="C102" s="156"/>
      <c r="D102" s="156"/>
      <c r="E102" s="156"/>
      <c r="F102" s="156"/>
      <c r="G102" s="156"/>
      <c r="H102" s="156"/>
      <c r="I102" s="156"/>
      <c r="J102" s="157"/>
    </row>
    <row r="103" spans="1:10" ht="12.75" customHeight="1">
      <c r="A103" s="158"/>
      <c r="B103" s="156"/>
      <c r="C103" s="156"/>
      <c r="D103" s="156"/>
      <c r="E103" s="156"/>
      <c r="F103" s="156"/>
      <c r="G103" s="156"/>
      <c r="H103" s="156"/>
      <c r="I103" s="156"/>
      <c r="J103" s="157"/>
    </row>
    <row r="104" spans="1:10" ht="12.75" customHeight="1">
      <c r="A104" s="158"/>
      <c r="B104" s="156"/>
      <c r="C104" s="156"/>
      <c r="D104" s="156"/>
      <c r="E104" s="156"/>
      <c r="F104" s="156"/>
      <c r="G104" s="156"/>
      <c r="H104" s="156"/>
      <c r="I104" s="156"/>
      <c r="J104" s="157"/>
    </row>
    <row r="105" spans="1:10" ht="12.75" customHeight="1">
      <c r="A105" s="158"/>
      <c r="B105" s="156"/>
      <c r="C105" s="156"/>
      <c r="D105" s="156"/>
      <c r="E105" s="156"/>
      <c r="F105" s="156"/>
      <c r="G105" s="156"/>
      <c r="H105" s="156"/>
      <c r="I105" s="156"/>
      <c r="J105" s="157"/>
    </row>
    <row r="106" spans="1:10" ht="12.75" customHeight="1">
      <c r="A106" s="158"/>
      <c r="B106" s="156"/>
      <c r="C106" s="156"/>
      <c r="D106" s="156"/>
      <c r="E106" s="156"/>
      <c r="F106" s="156"/>
      <c r="G106" s="156"/>
      <c r="H106" s="156"/>
      <c r="I106" s="156"/>
      <c r="J106" s="157"/>
    </row>
    <row r="107" spans="1:10" ht="12.75" customHeight="1">
      <c r="A107" s="158"/>
      <c r="B107" s="156"/>
      <c r="C107" s="156"/>
      <c r="D107" s="156"/>
      <c r="E107" s="156"/>
      <c r="F107" s="156"/>
      <c r="G107" s="156"/>
      <c r="H107" s="156"/>
      <c r="I107" s="156"/>
      <c r="J107" s="157"/>
    </row>
    <row r="108" spans="1:10" ht="12.75" customHeight="1">
      <c r="A108" s="158"/>
      <c r="B108" s="156"/>
      <c r="C108" s="156"/>
      <c r="D108" s="156"/>
      <c r="E108" s="156"/>
      <c r="F108" s="156"/>
      <c r="G108" s="156"/>
      <c r="H108" s="156"/>
      <c r="I108" s="156"/>
      <c r="J108" s="157"/>
    </row>
    <row r="109" spans="1:10" ht="12.75" customHeight="1">
      <c r="A109" s="158"/>
      <c r="B109" s="156"/>
      <c r="C109" s="156"/>
      <c r="D109" s="156"/>
      <c r="E109" s="156"/>
      <c r="F109" s="156"/>
      <c r="G109" s="156"/>
      <c r="H109" s="156"/>
      <c r="I109" s="156"/>
      <c r="J109" s="157"/>
    </row>
    <row r="110" spans="1:10" ht="12.75" customHeight="1">
      <c r="A110" s="199"/>
      <c r="B110" s="167"/>
      <c r="C110" s="167"/>
      <c r="D110" s="167"/>
      <c r="E110" s="167"/>
      <c r="F110" s="167"/>
      <c r="G110" s="167"/>
      <c r="H110" s="167"/>
      <c r="I110" s="167"/>
      <c r="J110" s="168"/>
    </row>
    <row r="111" spans="1:10" ht="12.75" customHeight="1"/>
    <row r="112" spans="1:10" ht="12.75" customHeight="1">
      <c r="A112" s="207" t="s">
        <v>65</v>
      </c>
      <c r="B112" s="152"/>
      <c r="C112" s="152"/>
      <c r="D112" s="152"/>
      <c r="E112" s="152"/>
      <c r="F112" s="152"/>
      <c r="G112" s="181"/>
      <c r="H112" s="208" t="str">
        <f>'CONTACT INFORMATION'!$A$24</f>
        <v>Humboldt</v>
      </c>
      <c r="I112" s="152"/>
      <c r="J112" s="153"/>
    </row>
    <row r="113" spans="1:10" ht="12.75" customHeight="1">
      <c r="A113" s="107"/>
      <c r="B113" s="107"/>
      <c r="C113" s="107"/>
      <c r="D113" s="107"/>
      <c r="E113" s="107"/>
      <c r="F113" s="107"/>
      <c r="G113" s="107"/>
      <c r="H113" s="107"/>
      <c r="I113" s="107"/>
      <c r="J113" s="107"/>
    </row>
    <row r="114" spans="1:10" ht="12.75" customHeight="1">
      <c r="A114" s="251" t="s">
        <v>189</v>
      </c>
      <c r="B114" s="152"/>
      <c r="C114" s="152"/>
      <c r="D114" s="152"/>
      <c r="E114" s="152"/>
      <c r="F114" s="152"/>
      <c r="G114" s="152"/>
      <c r="H114" s="152"/>
      <c r="I114" s="152"/>
      <c r="J114" s="153"/>
    </row>
    <row r="115" spans="1:10" ht="12.75" customHeight="1">
      <c r="A115" s="252" t="s">
        <v>140</v>
      </c>
      <c r="B115" s="163"/>
      <c r="C115" s="163"/>
      <c r="D115" s="164"/>
      <c r="E115" s="269"/>
      <c r="F115" s="197"/>
      <c r="G115" s="197"/>
      <c r="H115" s="197"/>
      <c r="I115" s="197"/>
      <c r="J115" s="198"/>
    </row>
    <row r="116" spans="1:10" ht="12.75" customHeight="1">
      <c r="A116" s="254" t="s">
        <v>161</v>
      </c>
      <c r="B116" s="149"/>
      <c r="C116" s="149"/>
      <c r="D116" s="150"/>
      <c r="E116" s="199"/>
      <c r="F116" s="167"/>
      <c r="G116" s="167"/>
      <c r="H116" s="167"/>
      <c r="I116" s="167"/>
      <c r="J116" s="168"/>
    </row>
    <row r="117" spans="1:10" ht="12.75" customHeight="1">
      <c r="A117" s="259" t="s">
        <v>190</v>
      </c>
      <c r="B117" s="152"/>
      <c r="C117" s="152"/>
      <c r="D117" s="153"/>
      <c r="E117" s="204"/>
      <c r="F117" s="152"/>
      <c r="G117" s="152"/>
      <c r="H117" s="152"/>
      <c r="I117" s="152"/>
      <c r="J117" s="153"/>
    </row>
    <row r="118" spans="1:10" ht="12.75" customHeight="1">
      <c r="A118" s="108"/>
      <c r="B118" s="104"/>
      <c r="C118" s="104"/>
      <c r="D118" s="104"/>
      <c r="E118" s="255" t="s">
        <v>143</v>
      </c>
      <c r="F118" s="167"/>
      <c r="G118" s="255" t="s">
        <v>144</v>
      </c>
      <c r="H118" s="167"/>
      <c r="I118" s="256" t="s">
        <v>145</v>
      </c>
      <c r="J118" s="168"/>
    </row>
    <row r="119" spans="1:10" ht="12.75" customHeight="1">
      <c r="A119" s="220" t="s">
        <v>146</v>
      </c>
      <c r="B119" s="152"/>
      <c r="C119" s="152"/>
      <c r="D119" s="153"/>
      <c r="E119" s="239"/>
      <c r="F119" s="153"/>
      <c r="G119" s="239"/>
      <c r="H119" s="153"/>
      <c r="I119" s="240"/>
      <c r="J119" s="153"/>
    </row>
    <row r="120" spans="1:10" ht="12.75" customHeight="1">
      <c r="A120" s="241" t="s">
        <v>147</v>
      </c>
      <c r="B120" s="152"/>
      <c r="C120" s="152"/>
      <c r="D120" s="153"/>
      <c r="E120" s="264"/>
      <c r="F120" s="153"/>
      <c r="G120" s="257"/>
      <c r="H120" s="153"/>
      <c r="I120" s="258"/>
      <c r="J120" s="153"/>
    </row>
    <row r="121" spans="1:10" ht="12.75" customHeight="1">
      <c r="A121" s="220" t="s">
        <v>148</v>
      </c>
      <c r="B121" s="152"/>
      <c r="C121" s="152"/>
      <c r="D121" s="153"/>
      <c r="E121" s="239"/>
      <c r="F121" s="153"/>
      <c r="G121" s="239"/>
      <c r="H121" s="153"/>
      <c r="I121" s="240"/>
      <c r="J121" s="153"/>
    </row>
    <row r="122" spans="1:10" ht="12.75" customHeight="1">
      <c r="A122" s="241" t="s">
        <v>149</v>
      </c>
      <c r="B122" s="152"/>
      <c r="C122" s="152"/>
      <c r="D122" s="153"/>
      <c r="E122" s="264"/>
      <c r="F122" s="153"/>
      <c r="G122" s="257"/>
      <c r="H122" s="153"/>
      <c r="I122" s="258"/>
      <c r="J122" s="153"/>
    </row>
    <row r="123" spans="1:10" ht="12.75" customHeight="1">
      <c r="A123" s="220" t="s">
        <v>150</v>
      </c>
      <c r="B123" s="152"/>
      <c r="C123" s="152"/>
      <c r="D123" s="153"/>
      <c r="E123" s="239"/>
      <c r="F123" s="153"/>
      <c r="G123" s="239"/>
      <c r="H123" s="153"/>
      <c r="I123" s="240"/>
      <c r="J123" s="153"/>
    </row>
    <row r="124" spans="1:10" ht="12.75" customHeight="1">
      <c r="A124" s="241" t="s">
        <v>151</v>
      </c>
      <c r="B124" s="152"/>
      <c r="C124" s="152"/>
      <c r="D124" s="153"/>
      <c r="E124" s="264"/>
      <c r="F124" s="153"/>
      <c r="G124" s="257"/>
      <c r="H124" s="153"/>
      <c r="I124" s="258"/>
      <c r="J124" s="153"/>
    </row>
    <row r="125" spans="1:10" ht="12.75" customHeight="1">
      <c r="A125" s="220" t="s">
        <v>152</v>
      </c>
      <c r="B125" s="152"/>
      <c r="C125" s="152"/>
      <c r="D125" s="153"/>
      <c r="E125" s="262"/>
      <c r="F125" s="153"/>
      <c r="G125" s="262"/>
      <c r="H125" s="153"/>
      <c r="I125" s="263"/>
      <c r="J125" s="153"/>
    </row>
    <row r="126" spans="1:10" ht="12.75" customHeight="1">
      <c r="A126" s="265"/>
      <c r="B126" s="152"/>
      <c r="C126" s="152"/>
      <c r="D126" s="153"/>
      <c r="E126" s="264"/>
      <c r="F126" s="153"/>
      <c r="G126" s="257"/>
      <c r="H126" s="153"/>
      <c r="I126" s="257"/>
      <c r="J126" s="153"/>
    </row>
    <row r="127" spans="1:10" ht="12.75" customHeight="1">
      <c r="A127" s="265"/>
      <c r="B127" s="152"/>
      <c r="C127" s="152"/>
      <c r="D127" s="153"/>
      <c r="E127" s="264"/>
      <c r="F127" s="153"/>
      <c r="G127" s="257"/>
      <c r="H127" s="153"/>
      <c r="I127" s="257"/>
      <c r="J127" s="153"/>
    </row>
    <row r="128" spans="1:10" ht="12.75" customHeight="1">
      <c r="A128" s="265"/>
      <c r="B128" s="152"/>
      <c r="C128" s="152"/>
      <c r="D128" s="153"/>
      <c r="E128" s="264"/>
      <c r="F128" s="153"/>
      <c r="G128" s="257"/>
      <c r="H128" s="153"/>
      <c r="I128" s="257"/>
      <c r="J128" s="153"/>
    </row>
    <row r="129" spans="1:10" ht="12.75" customHeight="1">
      <c r="A129" s="222" t="s">
        <v>153</v>
      </c>
      <c r="B129" s="152"/>
      <c r="C129" s="152"/>
      <c r="D129" s="153"/>
      <c r="E129" s="266">
        <f>SUM(E119:E128)</f>
        <v>0</v>
      </c>
      <c r="F129" s="153"/>
      <c r="G129" s="266">
        <f>SUM(G119:G128)</f>
        <v>0</v>
      </c>
      <c r="H129" s="153"/>
      <c r="I129" s="266">
        <f>SUM(I119:I128)</f>
        <v>0</v>
      </c>
      <c r="J129" s="153"/>
    </row>
    <row r="130" spans="1:10" ht="12.75" customHeight="1">
      <c r="A130" s="267" t="s">
        <v>154</v>
      </c>
      <c r="B130" s="163"/>
      <c r="C130" s="163"/>
      <c r="D130" s="163"/>
      <c r="E130" s="163"/>
      <c r="F130" s="163"/>
      <c r="G130" s="163"/>
      <c r="H130" s="163"/>
      <c r="I130" s="163"/>
      <c r="J130" s="164"/>
    </row>
    <row r="131" spans="1:10" ht="12.75" customHeight="1">
      <c r="A131" s="268" t="s">
        <v>155</v>
      </c>
      <c r="B131" s="171"/>
      <c r="C131" s="171"/>
      <c r="D131" s="171"/>
      <c r="E131" s="171"/>
      <c r="F131" s="171"/>
      <c r="G131" s="171"/>
      <c r="H131" s="171"/>
      <c r="I131" s="171"/>
      <c r="J131" s="172"/>
    </row>
    <row r="132" spans="1:10" ht="12.75" customHeight="1">
      <c r="A132" s="268" t="s">
        <v>156</v>
      </c>
      <c r="B132" s="171"/>
      <c r="C132" s="171"/>
      <c r="D132" s="171"/>
      <c r="E132" s="171"/>
      <c r="F132" s="171"/>
      <c r="G132" s="171"/>
      <c r="H132" s="171"/>
      <c r="I132" s="171"/>
      <c r="J132" s="172"/>
    </row>
    <row r="133" spans="1:10" ht="12.75" customHeight="1">
      <c r="A133" s="260" t="s">
        <v>157</v>
      </c>
      <c r="B133" s="149"/>
      <c r="C133" s="149"/>
      <c r="D133" s="149"/>
      <c r="E133" s="149"/>
      <c r="F133" s="149"/>
      <c r="G133" s="149"/>
      <c r="H133" s="149"/>
      <c r="I133" s="149"/>
      <c r="J133" s="150"/>
    </row>
    <row r="134" spans="1:10" ht="12.75" customHeight="1">
      <c r="A134" s="196"/>
      <c r="B134" s="197"/>
      <c r="C134" s="197"/>
      <c r="D134" s="197"/>
      <c r="E134" s="197"/>
      <c r="F134" s="197"/>
      <c r="G134" s="197"/>
      <c r="H134" s="197"/>
      <c r="I134" s="197"/>
      <c r="J134" s="198"/>
    </row>
    <row r="135" spans="1:10" ht="12.75" customHeight="1">
      <c r="A135" s="158"/>
      <c r="B135" s="156"/>
      <c r="C135" s="156"/>
      <c r="D135" s="156"/>
      <c r="E135" s="156"/>
      <c r="F135" s="156"/>
      <c r="G135" s="156"/>
      <c r="H135" s="156"/>
      <c r="I135" s="156"/>
      <c r="J135" s="157"/>
    </row>
    <row r="136" spans="1:10" ht="12.75" customHeight="1">
      <c r="A136" s="158"/>
      <c r="B136" s="156"/>
      <c r="C136" s="156"/>
      <c r="D136" s="156"/>
      <c r="E136" s="156"/>
      <c r="F136" s="156"/>
      <c r="G136" s="156"/>
      <c r="H136" s="156"/>
      <c r="I136" s="156"/>
      <c r="J136" s="157"/>
    </row>
    <row r="137" spans="1:10" ht="12.75" customHeight="1">
      <c r="A137" s="158"/>
      <c r="B137" s="156"/>
      <c r="C137" s="156"/>
      <c r="D137" s="156"/>
      <c r="E137" s="156"/>
      <c r="F137" s="156"/>
      <c r="G137" s="156"/>
      <c r="H137" s="156"/>
      <c r="I137" s="156"/>
      <c r="J137" s="157"/>
    </row>
    <row r="138" spans="1:10" ht="12.75" customHeight="1">
      <c r="A138" s="158"/>
      <c r="B138" s="156"/>
      <c r="C138" s="156"/>
      <c r="D138" s="156"/>
      <c r="E138" s="156"/>
      <c r="F138" s="156"/>
      <c r="G138" s="156"/>
      <c r="H138" s="156"/>
      <c r="I138" s="156"/>
      <c r="J138" s="157"/>
    </row>
    <row r="139" spans="1:10" ht="12.75" customHeight="1">
      <c r="A139" s="158"/>
      <c r="B139" s="156"/>
      <c r="C139" s="156"/>
      <c r="D139" s="156"/>
      <c r="E139" s="156"/>
      <c r="F139" s="156"/>
      <c r="G139" s="156"/>
      <c r="H139" s="156"/>
      <c r="I139" s="156"/>
      <c r="J139" s="157"/>
    </row>
    <row r="140" spans="1:10" ht="12.75" customHeight="1">
      <c r="A140" s="158"/>
      <c r="B140" s="156"/>
      <c r="C140" s="156"/>
      <c r="D140" s="156"/>
      <c r="E140" s="156"/>
      <c r="F140" s="156"/>
      <c r="G140" s="156"/>
      <c r="H140" s="156"/>
      <c r="I140" s="156"/>
      <c r="J140" s="157"/>
    </row>
    <row r="141" spans="1:10" ht="12.75" customHeight="1">
      <c r="A141" s="158"/>
      <c r="B141" s="156"/>
      <c r="C141" s="156"/>
      <c r="D141" s="156"/>
      <c r="E141" s="156"/>
      <c r="F141" s="156"/>
      <c r="G141" s="156"/>
      <c r="H141" s="156"/>
      <c r="I141" s="156"/>
      <c r="J141" s="157"/>
    </row>
    <row r="142" spans="1:10" ht="12.75" customHeight="1">
      <c r="A142" s="158"/>
      <c r="B142" s="156"/>
      <c r="C142" s="156"/>
      <c r="D142" s="156"/>
      <c r="E142" s="156"/>
      <c r="F142" s="156"/>
      <c r="G142" s="156"/>
      <c r="H142" s="156"/>
      <c r="I142" s="156"/>
      <c r="J142" s="157"/>
    </row>
    <row r="143" spans="1:10" ht="12.75" customHeight="1">
      <c r="A143" s="158"/>
      <c r="B143" s="156"/>
      <c r="C143" s="156"/>
      <c r="D143" s="156"/>
      <c r="E143" s="156"/>
      <c r="F143" s="156"/>
      <c r="G143" s="156"/>
      <c r="H143" s="156"/>
      <c r="I143" s="156"/>
      <c r="J143" s="157"/>
    </row>
    <row r="144" spans="1:10" ht="12.75" customHeight="1">
      <c r="A144" s="158"/>
      <c r="B144" s="156"/>
      <c r="C144" s="156"/>
      <c r="D144" s="156"/>
      <c r="E144" s="156"/>
      <c r="F144" s="156"/>
      <c r="G144" s="156"/>
      <c r="H144" s="156"/>
      <c r="I144" s="156"/>
      <c r="J144" s="157"/>
    </row>
    <row r="145" spans="1:10" ht="12.75" customHeight="1">
      <c r="A145" s="158"/>
      <c r="B145" s="156"/>
      <c r="C145" s="156"/>
      <c r="D145" s="156"/>
      <c r="E145" s="156"/>
      <c r="F145" s="156"/>
      <c r="G145" s="156"/>
      <c r="H145" s="156"/>
      <c r="I145" s="156"/>
      <c r="J145" s="157"/>
    </row>
    <row r="146" spans="1:10" ht="12.75" customHeight="1">
      <c r="A146" s="158"/>
      <c r="B146" s="156"/>
      <c r="C146" s="156"/>
      <c r="D146" s="156"/>
      <c r="E146" s="156"/>
      <c r="F146" s="156"/>
      <c r="G146" s="156"/>
      <c r="H146" s="156"/>
      <c r="I146" s="156"/>
      <c r="J146" s="157"/>
    </row>
    <row r="147" spans="1:10" ht="12.75" customHeight="1">
      <c r="A147" s="158"/>
      <c r="B147" s="156"/>
      <c r="C147" s="156"/>
      <c r="D147" s="156"/>
      <c r="E147" s="156"/>
      <c r="F147" s="156"/>
      <c r="G147" s="156"/>
      <c r="H147" s="156"/>
      <c r="I147" s="156"/>
      <c r="J147" s="157"/>
    </row>
    <row r="148" spans="1:10" ht="12.75" customHeight="1">
      <c r="A148" s="158"/>
      <c r="B148" s="156"/>
      <c r="C148" s="156"/>
      <c r="D148" s="156"/>
      <c r="E148" s="156"/>
      <c r="F148" s="156"/>
      <c r="G148" s="156"/>
      <c r="H148" s="156"/>
      <c r="I148" s="156"/>
      <c r="J148" s="157"/>
    </row>
    <row r="149" spans="1:10" ht="12.75" customHeight="1">
      <c r="A149" s="158"/>
      <c r="B149" s="156"/>
      <c r="C149" s="156"/>
      <c r="D149" s="156"/>
      <c r="E149" s="156"/>
      <c r="F149" s="156"/>
      <c r="G149" s="156"/>
      <c r="H149" s="156"/>
      <c r="I149" s="156"/>
      <c r="J149" s="157"/>
    </row>
    <row r="150" spans="1:10" ht="12.75" customHeight="1">
      <c r="A150" s="158"/>
      <c r="B150" s="156"/>
      <c r="C150" s="156"/>
      <c r="D150" s="156"/>
      <c r="E150" s="156"/>
      <c r="F150" s="156"/>
      <c r="G150" s="156"/>
      <c r="H150" s="156"/>
      <c r="I150" s="156"/>
      <c r="J150" s="157"/>
    </row>
    <row r="151" spans="1:10" ht="12.75" customHeight="1">
      <c r="A151" s="158"/>
      <c r="B151" s="156"/>
      <c r="C151" s="156"/>
      <c r="D151" s="156"/>
      <c r="E151" s="156"/>
      <c r="F151" s="156"/>
      <c r="G151" s="156"/>
      <c r="H151" s="156"/>
      <c r="I151" s="156"/>
      <c r="J151" s="157"/>
    </row>
    <row r="152" spans="1:10" ht="12.75" customHeight="1">
      <c r="A152" s="158"/>
      <c r="B152" s="156"/>
      <c r="C152" s="156"/>
      <c r="D152" s="156"/>
      <c r="E152" s="156"/>
      <c r="F152" s="156"/>
      <c r="G152" s="156"/>
      <c r="H152" s="156"/>
      <c r="I152" s="156"/>
      <c r="J152" s="157"/>
    </row>
    <row r="153" spans="1:10" ht="12.75" customHeight="1">
      <c r="A153" s="158"/>
      <c r="B153" s="156"/>
      <c r="C153" s="156"/>
      <c r="D153" s="156"/>
      <c r="E153" s="156"/>
      <c r="F153" s="156"/>
      <c r="G153" s="156"/>
      <c r="H153" s="156"/>
      <c r="I153" s="156"/>
      <c r="J153" s="157"/>
    </row>
    <row r="154" spans="1:10" ht="12.75" customHeight="1">
      <c r="A154" s="158"/>
      <c r="B154" s="156"/>
      <c r="C154" s="156"/>
      <c r="D154" s="156"/>
      <c r="E154" s="156"/>
      <c r="F154" s="156"/>
      <c r="G154" s="156"/>
      <c r="H154" s="156"/>
      <c r="I154" s="156"/>
      <c r="J154" s="157"/>
    </row>
    <row r="155" spans="1:10" ht="12.75" customHeight="1">
      <c r="A155" s="158"/>
      <c r="B155" s="156"/>
      <c r="C155" s="156"/>
      <c r="D155" s="156"/>
      <c r="E155" s="156"/>
      <c r="F155" s="156"/>
      <c r="G155" s="156"/>
      <c r="H155" s="156"/>
      <c r="I155" s="156"/>
      <c r="J155" s="157"/>
    </row>
    <row r="156" spans="1:10" ht="12.75" customHeight="1">
      <c r="A156" s="158"/>
      <c r="B156" s="156"/>
      <c r="C156" s="156"/>
      <c r="D156" s="156"/>
      <c r="E156" s="156"/>
      <c r="F156" s="156"/>
      <c r="G156" s="156"/>
      <c r="H156" s="156"/>
      <c r="I156" s="156"/>
      <c r="J156" s="157"/>
    </row>
    <row r="157" spans="1:10" ht="12.75" customHeight="1">
      <c r="A157" s="158"/>
      <c r="B157" s="156"/>
      <c r="C157" s="156"/>
      <c r="D157" s="156"/>
      <c r="E157" s="156"/>
      <c r="F157" s="156"/>
      <c r="G157" s="156"/>
      <c r="H157" s="156"/>
      <c r="I157" s="156"/>
      <c r="J157" s="157"/>
    </row>
    <row r="158" spans="1:10" ht="12.75" customHeight="1">
      <c r="A158" s="158"/>
      <c r="B158" s="156"/>
      <c r="C158" s="156"/>
      <c r="D158" s="156"/>
      <c r="E158" s="156"/>
      <c r="F158" s="156"/>
      <c r="G158" s="156"/>
      <c r="H158" s="156"/>
      <c r="I158" s="156"/>
      <c r="J158" s="157"/>
    </row>
    <row r="159" spans="1:10" ht="12.75" customHeight="1">
      <c r="A159" s="158"/>
      <c r="B159" s="156"/>
      <c r="C159" s="156"/>
      <c r="D159" s="156"/>
      <c r="E159" s="156"/>
      <c r="F159" s="156"/>
      <c r="G159" s="156"/>
      <c r="H159" s="156"/>
      <c r="I159" s="156"/>
      <c r="J159" s="157"/>
    </row>
    <row r="160" spans="1:10" ht="12.75" customHeight="1">
      <c r="A160" s="158"/>
      <c r="B160" s="156"/>
      <c r="C160" s="156"/>
      <c r="D160" s="156"/>
      <c r="E160" s="156"/>
      <c r="F160" s="156"/>
      <c r="G160" s="156"/>
      <c r="H160" s="156"/>
      <c r="I160" s="156"/>
      <c r="J160" s="157"/>
    </row>
    <row r="161" spans="1:10" ht="12.75" customHeight="1">
      <c r="A161" s="158"/>
      <c r="B161" s="156"/>
      <c r="C161" s="156"/>
      <c r="D161" s="156"/>
      <c r="E161" s="156"/>
      <c r="F161" s="156"/>
      <c r="G161" s="156"/>
      <c r="H161" s="156"/>
      <c r="I161" s="156"/>
      <c r="J161" s="157"/>
    </row>
    <row r="162" spans="1:10" ht="12.75" customHeight="1">
      <c r="A162" s="158"/>
      <c r="B162" s="156"/>
      <c r="C162" s="156"/>
      <c r="D162" s="156"/>
      <c r="E162" s="156"/>
      <c r="F162" s="156"/>
      <c r="G162" s="156"/>
      <c r="H162" s="156"/>
      <c r="I162" s="156"/>
      <c r="J162" s="157"/>
    </row>
    <row r="163" spans="1:10" ht="12.75" customHeight="1">
      <c r="A163" s="158"/>
      <c r="B163" s="156"/>
      <c r="C163" s="156"/>
      <c r="D163" s="156"/>
      <c r="E163" s="156"/>
      <c r="F163" s="156"/>
      <c r="G163" s="156"/>
      <c r="H163" s="156"/>
      <c r="I163" s="156"/>
      <c r="J163" s="157"/>
    </row>
    <row r="164" spans="1:10" ht="12.75" customHeight="1">
      <c r="A164" s="158"/>
      <c r="B164" s="156"/>
      <c r="C164" s="156"/>
      <c r="D164" s="156"/>
      <c r="E164" s="156"/>
      <c r="F164" s="156"/>
      <c r="G164" s="156"/>
      <c r="H164" s="156"/>
      <c r="I164" s="156"/>
      <c r="J164" s="157"/>
    </row>
    <row r="165" spans="1:10" ht="12.75" customHeight="1">
      <c r="A165" s="199"/>
      <c r="B165" s="167"/>
      <c r="C165" s="167"/>
      <c r="D165" s="167"/>
      <c r="E165" s="167"/>
      <c r="F165" s="167"/>
      <c r="G165" s="167"/>
      <c r="H165" s="167"/>
      <c r="I165" s="167"/>
      <c r="J165" s="168"/>
    </row>
    <row r="166" spans="1:10" ht="12.75" customHeight="1"/>
    <row r="167" spans="1:10" ht="12.75" customHeight="1">
      <c r="A167" s="207" t="s">
        <v>65</v>
      </c>
      <c r="B167" s="152"/>
      <c r="C167" s="152"/>
      <c r="D167" s="152"/>
      <c r="E167" s="152"/>
      <c r="F167" s="152"/>
      <c r="G167" s="181"/>
      <c r="H167" s="208" t="str">
        <f>'CONTACT INFORMATION'!$A$24</f>
        <v>Humboldt</v>
      </c>
      <c r="I167" s="152"/>
      <c r="J167" s="153"/>
    </row>
    <row r="168" spans="1:10" ht="12.75" customHeight="1">
      <c r="A168" s="107"/>
      <c r="B168" s="107"/>
      <c r="C168" s="107"/>
      <c r="D168" s="107"/>
      <c r="E168" s="107"/>
      <c r="F168" s="107"/>
      <c r="G168" s="107"/>
      <c r="H168" s="107"/>
      <c r="I168" s="107"/>
      <c r="J168" s="107"/>
    </row>
    <row r="169" spans="1:10" ht="12.75" customHeight="1">
      <c r="A169" s="251" t="s">
        <v>191</v>
      </c>
      <c r="B169" s="152"/>
      <c r="C169" s="152"/>
      <c r="D169" s="152"/>
      <c r="E169" s="152"/>
      <c r="F169" s="152"/>
      <c r="G169" s="152"/>
      <c r="H169" s="152"/>
      <c r="I169" s="152"/>
      <c r="J169" s="153"/>
    </row>
    <row r="170" spans="1:10" ht="12.75" customHeight="1">
      <c r="A170" s="252" t="s">
        <v>140</v>
      </c>
      <c r="B170" s="163"/>
      <c r="C170" s="163"/>
      <c r="D170" s="164"/>
      <c r="E170" s="269"/>
      <c r="F170" s="197"/>
      <c r="G170" s="197"/>
      <c r="H170" s="197"/>
      <c r="I170" s="197"/>
      <c r="J170" s="198"/>
    </row>
    <row r="171" spans="1:10" ht="12.75" customHeight="1">
      <c r="A171" s="254" t="s">
        <v>161</v>
      </c>
      <c r="B171" s="149"/>
      <c r="C171" s="149"/>
      <c r="D171" s="150"/>
      <c r="E171" s="199"/>
      <c r="F171" s="167"/>
      <c r="G171" s="167"/>
      <c r="H171" s="167"/>
      <c r="I171" s="167"/>
      <c r="J171" s="168"/>
    </row>
    <row r="172" spans="1:10" ht="12.75" customHeight="1">
      <c r="A172" s="259" t="s">
        <v>192</v>
      </c>
      <c r="B172" s="152"/>
      <c r="C172" s="152"/>
      <c r="D172" s="153"/>
      <c r="E172" s="204"/>
      <c r="F172" s="152"/>
      <c r="G172" s="152"/>
      <c r="H172" s="152"/>
      <c r="I172" s="152"/>
      <c r="J172" s="153"/>
    </row>
    <row r="173" spans="1:10" ht="12.75" customHeight="1">
      <c r="A173" s="108"/>
      <c r="B173" s="104"/>
      <c r="C173" s="104"/>
      <c r="D173" s="104"/>
      <c r="E173" s="255" t="s">
        <v>143</v>
      </c>
      <c r="F173" s="167"/>
      <c r="G173" s="255" t="s">
        <v>144</v>
      </c>
      <c r="H173" s="167"/>
      <c r="I173" s="256" t="s">
        <v>145</v>
      </c>
      <c r="J173" s="168"/>
    </row>
    <row r="174" spans="1:10" ht="12.75" customHeight="1">
      <c r="A174" s="220" t="s">
        <v>146</v>
      </c>
      <c r="B174" s="152"/>
      <c r="C174" s="152"/>
      <c r="D174" s="153"/>
      <c r="E174" s="239"/>
      <c r="F174" s="153"/>
      <c r="G174" s="239"/>
      <c r="H174" s="153"/>
      <c r="I174" s="240"/>
      <c r="J174" s="153"/>
    </row>
    <row r="175" spans="1:10" ht="12.75" customHeight="1">
      <c r="A175" s="241" t="s">
        <v>147</v>
      </c>
      <c r="B175" s="152"/>
      <c r="C175" s="152"/>
      <c r="D175" s="153"/>
      <c r="E175" s="264"/>
      <c r="F175" s="153"/>
      <c r="G175" s="257"/>
      <c r="H175" s="153"/>
      <c r="I175" s="258"/>
      <c r="J175" s="153"/>
    </row>
    <row r="176" spans="1:10" ht="12.75" customHeight="1">
      <c r="A176" s="220" t="s">
        <v>148</v>
      </c>
      <c r="B176" s="152"/>
      <c r="C176" s="152"/>
      <c r="D176" s="153"/>
      <c r="E176" s="239"/>
      <c r="F176" s="153"/>
      <c r="G176" s="239"/>
      <c r="H176" s="153"/>
      <c r="I176" s="240"/>
      <c r="J176" s="153"/>
    </row>
    <row r="177" spans="1:10" ht="12.75" customHeight="1">
      <c r="A177" s="241" t="s">
        <v>149</v>
      </c>
      <c r="B177" s="152"/>
      <c r="C177" s="152"/>
      <c r="D177" s="153"/>
      <c r="E177" s="264"/>
      <c r="F177" s="153"/>
      <c r="G177" s="257"/>
      <c r="H177" s="153"/>
      <c r="I177" s="258"/>
      <c r="J177" s="153"/>
    </row>
    <row r="178" spans="1:10" ht="12.75" customHeight="1">
      <c r="A178" s="220" t="s">
        <v>150</v>
      </c>
      <c r="B178" s="152"/>
      <c r="C178" s="152"/>
      <c r="D178" s="153"/>
      <c r="E178" s="239"/>
      <c r="F178" s="153"/>
      <c r="G178" s="239"/>
      <c r="H178" s="153"/>
      <c r="I178" s="240"/>
      <c r="J178" s="153"/>
    </row>
    <row r="179" spans="1:10" ht="12.75" customHeight="1">
      <c r="A179" s="241" t="s">
        <v>151</v>
      </c>
      <c r="B179" s="152"/>
      <c r="C179" s="152"/>
      <c r="D179" s="153"/>
      <c r="E179" s="264"/>
      <c r="F179" s="153"/>
      <c r="G179" s="257"/>
      <c r="H179" s="153"/>
      <c r="I179" s="258"/>
      <c r="J179" s="153"/>
    </row>
    <row r="180" spans="1:10" ht="12.75" customHeight="1">
      <c r="A180" s="220" t="s">
        <v>152</v>
      </c>
      <c r="B180" s="152"/>
      <c r="C180" s="152"/>
      <c r="D180" s="153"/>
      <c r="E180" s="262"/>
      <c r="F180" s="153"/>
      <c r="G180" s="262"/>
      <c r="H180" s="153"/>
      <c r="I180" s="263"/>
      <c r="J180" s="153"/>
    </row>
    <row r="181" spans="1:10" ht="12.75" customHeight="1">
      <c r="A181" s="265"/>
      <c r="B181" s="152"/>
      <c r="C181" s="152"/>
      <c r="D181" s="153"/>
      <c r="E181" s="264"/>
      <c r="F181" s="153"/>
      <c r="G181" s="257"/>
      <c r="H181" s="153"/>
      <c r="I181" s="257"/>
      <c r="J181" s="153"/>
    </row>
    <row r="182" spans="1:10" ht="12.75" customHeight="1">
      <c r="A182" s="265"/>
      <c r="B182" s="152"/>
      <c r="C182" s="152"/>
      <c r="D182" s="153"/>
      <c r="E182" s="264"/>
      <c r="F182" s="153"/>
      <c r="G182" s="257"/>
      <c r="H182" s="153"/>
      <c r="I182" s="257"/>
      <c r="J182" s="153"/>
    </row>
    <row r="183" spans="1:10" ht="12.75" customHeight="1">
      <c r="A183" s="265"/>
      <c r="B183" s="152"/>
      <c r="C183" s="152"/>
      <c r="D183" s="153"/>
      <c r="E183" s="264"/>
      <c r="F183" s="153"/>
      <c r="G183" s="257"/>
      <c r="H183" s="153"/>
      <c r="I183" s="257"/>
      <c r="J183" s="153"/>
    </row>
    <row r="184" spans="1:10" ht="12.75" customHeight="1">
      <c r="A184" s="222" t="s">
        <v>153</v>
      </c>
      <c r="B184" s="152"/>
      <c r="C184" s="152"/>
      <c r="D184" s="153"/>
      <c r="E184" s="266">
        <f>SUM(E174:E183)</f>
        <v>0</v>
      </c>
      <c r="F184" s="153"/>
      <c r="G184" s="266">
        <f>SUM(G174:G183)</f>
        <v>0</v>
      </c>
      <c r="H184" s="153"/>
      <c r="I184" s="266">
        <f>SUM(I174:I183)</f>
        <v>0</v>
      </c>
      <c r="J184" s="153"/>
    </row>
    <row r="185" spans="1:10" ht="12.75" customHeight="1">
      <c r="A185" s="267" t="s">
        <v>154</v>
      </c>
      <c r="B185" s="163"/>
      <c r="C185" s="163"/>
      <c r="D185" s="163"/>
      <c r="E185" s="163"/>
      <c r="F185" s="163"/>
      <c r="G185" s="163"/>
      <c r="H185" s="163"/>
      <c r="I185" s="163"/>
      <c r="J185" s="164"/>
    </row>
    <row r="186" spans="1:10" ht="12.75" customHeight="1">
      <c r="A186" s="268" t="s">
        <v>155</v>
      </c>
      <c r="B186" s="171"/>
      <c r="C186" s="171"/>
      <c r="D186" s="171"/>
      <c r="E186" s="171"/>
      <c r="F186" s="171"/>
      <c r="G186" s="171"/>
      <c r="H186" s="171"/>
      <c r="I186" s="171"/>
      <c r="J186" s="172"/>
    </row>
    <row r="187" spans="1:10" ht="12.75" customHeight="1">
      <c r="A187" s="268" t="s">
        <v>156</v>
      </c>
      <c r="B187" s="171"/>
      <c r="C187" s="171"/>
      <c r="D187" s="171"/>
      <c r="E187" s="171"/>
      <c r="F187" s="171"/>
      <c r="G187" s="171"/>
      <c r="H187" s="171"/>
      <c r="I187" s="171"/>
      <c r="J187" s="172"/>
    </row>
    <row r="188" spans="1:10" ht="12.75" customHeight="1">
      <c r="A188" s="260" t="s">
        <v>157</v>
      </c>
      <c r="B188" s="149"/>
      <c r="C188" s="149"/>
      <c r="D188" s="149"/>
      <c r="E188" s="149"/>
      <c r="F188" s="149"/>
      <c r="G188" s="149"/>
      <c r="H188" s="149"/>
      <c r="I188" s="149"/>
      <c r="J188" s="150"/>
    </row>
    <row r="189" spans="1:10" ht="12.75" customHeight="1">
      <c r="A189" s="196"/>
      <c r="B189" s="197"/>
      <c r="C189" s="197"/>
      <c r="D189" s="197"/>
      <c r="E189" s="197"/>
      <c r="F189" s="197"/>
      <c r="G189" s="197"/>
      <c r="H189" s="197"/>
      <c r="I189" s="197"/>
      <c r="J189" s="198"/>
    </row>
    <row r="190" spans="1:10" ht="12.75" customHeight="1">
      <c r="A190" s="158"/>
      <c r="B190" s="156"/>
      <c r="C190" s="156"/>
      <c r="D190" s="156"/>
      <c r="E190" s="156"/>
      <c r="F190" s="156"/>
      <c r="G190" s="156"/>
      <c r="H190" s="156"/>
      <c r="I190" s="156"/>
      <c r="J190" s="157"/>
    </row>
    <row r="191" spans="1:10" ht="12.75" customHeight="1">
      <c r="A191" s="158"/>
      <c r="B191" s="156"/>
      <c r="C191" s="156"/>
      <c r="D191" s="156"/>
      <c r="E191" s="156"/>
      <c r="F191" s="156"/>
      <c r="G191" s="156"/>
      <c r="H191" s="156"/>
      <c r="I191" s="156"/>
      <c r="J191" s="157"/>
    </row>
    <row r="192" spans="1:10" ht="12.75" customHeight="1">
      <c r="A192" s="158"/>
      <c r="B192" s="156"/>
      <c r="C192" s="156"/>
      <c r="D192" s="156"/>
      <c r="E192" s="156"/>
      <c r="F192" s="156"/>
      <c r="G192" s="156"/>
      <c r="H192" s="156"/>
      <c r="I192" s="156"/>
      <c r="J192" s="157"/>
    </row>
    <row r="193" spans="1:10" ht="12.75" customHeight="1">
      <c r="A193" s="158"/>
      <c r="B193" s="156"/>
      <c r="C193" s="156"/>
      <c r="D193" s="156"/>
      <c r="E193" s="156"/>
      <c r="F193" s="156"/>
      <c r="G193" s="156"/>
      <c r="H193" s="156"/>
      <c r="I193" s="156"/>
      <c r="J193" s="157"/>
    </row>
    <row r="194" spans="1:10" ht="12.75" customHeight="1">
      <c r="A194" s="158"/>
      <c r="B194" s="156"/>
      <c r="C194" s="156"/>
      <c r="D194" s="156"/>
      <c r="E194" s="156"/>
      <c r="F194" s="156"/>
      <c r="G194" s="156"/>
      <c r="H194" s="156"/>
      <c r="I194" s="156"/>
      <c r="J194" s="157"/>
    </row>
    <row r="195" spans="1:10" ht="12.75" customHeight="1">
      <c r="A195" s="158"/>
      <c r="B195" s="156"/>
      <c r="C195" s="156"/>
      <c r="D195" s="156"/>
      <c r="E195" s="156"/>
      <c r="F195" s="156"/>
      <c r="G195" s="156"/>
      <c r="H195" s="156"/>
      <c r="I195" s="156"/>
      <c r="J195" s="157"/>
    </row>
    <row r="196" spans="1:10" ht="12.75" customHeight="1">
      <c r="A196" s="158"/>
      <c r="B196" s="156"/>
      <c r="C196" s="156"/>
      <c r="D196" s="156"/>
      <c r="E196" s="156"/>
      <c r="F196" s="156"/>
      <c r="G196" s="156"/>
      <c r="H196" s="156"/>
      <c r="I196" s="156"/>
      <c r="J196" s="157"/>
    </row>
    <row r="197" spans="1:10" ht="12.75" customHeight="1">
      <c r="A197" s="158"/>
      <c r="B197" s="156"/>
      <c r="C197" s="156"/>
      <c r="D197" s="156"/>
      <c r="E197" s="156"/>
      <c r="F197" s="156"/>
      <c r="G197" s="156"/>
      <c r="H197" s="156"/>
      <c r="I197" s="156"/>
      <c r="J197" s="157"/>
    </row>
    <row r="198" spans="1:10" ht="12.75" customHeight="1">
      <c r="A198" s="158"/>
      <c r="B198" s="156"/>
      <c r="C198" s="156"/>
      <c r="D198" s="156"/>
      <c r="E198" s="156"/>
      <c r="F198" s="156"/>
      <c r="G198" s="156"/>
      <c r="H198" s="156"/>
      <c r="I198" s="156"/>
      <c r="J198" s="157"/>
    </row>
    <row r="199" spans="1:10" ht="12.75" customHeight="1">
      <c r="A199" s="158"/>
      <c r="B199" s="156"/>
      <c r="C199" s="156"/>
      <c r="D199" s="156"/>
      <c r="E199" s="156"/>
      <c r="F199" s="156"/>
      <c r="G199" s="156"/>
      <c r="H199" s="156"/>
      <c r="I199" s="156"/>
      <c r="J199" s="157"/>
    </row>
    <row r="200" spans="1:10" ht="12.75" customHeight="1">
      <c r="A200" s="158"/>
      <c r="B200" s="156"/>
      <c r="C200" s="156"/>
      <c r="D200" s="156"/>
      <c r="E200" s="156"/>
      <c r="F200" s="156"/>
      <c r="G200" s="156"/>
      <c r="H200" s="156"/>
      <c r="I200" s="156"/>
      <c r="J200" s="157"/>
    </row>
    <row r="201" spans="1:10" ht="12.75" customHeight="1">
      <c r="A201" s="158"/>
      <c r="B201" s="156"/>
      <c r="C201" s="156"/>
      <c r="D201" s="156"/>
      <c r="E201" s="156"/>
      <c r="F201" s="156"/>
      <c r="G201" s="156"/>
      <c r="H201" s="156"/>
      <c r="I201" s="156"/>
      <c r="J201" s="157"/>
    </row>
    <row r="202" spans="1:10" ht="12.75" customHeight="1">
      <c r="A202" s="158"/>
      <c r="B202" s="156"/>
      <c r="C202" s="156"/>
      <c r="D202" s="156"/>
      <c r="E202" s="156"/>
      <c r="F202" s="156"/>
      <c r="G202" s="156"/>
      <c r="H202" s="156"/>
      <c r="I202" s="156"/>
      <c r="J202" s="157"/>
    </row>
    <row r="203" spans="1:10" ht="12.75" customHeight="1">
      <c r="A203" s="158"/>
      <c r="B203" s="156"/>
      <c r="C203" s="156"/>
      <c r="D203" s="156"/>
      <c r="E203" s="156"/>
      <c r="F203" s="156"/>
      <c r="G203" s="156"/>
      <c r="H203" s="156"/>
      <c r="I203" s="156"/>
      <c r="J203" s="157"/>
    </row>
    <row r="204" spans="1:10" ht="12.75" customHeight="1">
      <c r="A204" s="158"/>
      <c r="B204" s="156"/>
      <c r="C204" s="156"/>
      <c r="D204" s="156"/>
      <c r="E204" s="156"/>
      <c r="F204" s="156"/>
      <c r="G204" s="156"/>
      <c r="H204" s="156"/>
      <c r="I204" s="156"/>
      <c r="J204" s="157"/>
    </row>
    <row r="205" spans="1:10" ht="12.75" customHeight="1">
      <c r="A205" s="158"/>
      <c r="B205" s="156"/>
      <c r="C205" s="156"/>
      <c r="D205" s="156"/>
      <c r="E205" s="156"/>
      <c r="F205" s="156"/>
      <c r="G205" s="156"/>
      <c r="H205" s="156"/>
      <c r="I205" s="156"/>
      <c r="J205" s="157"/>
    </row>
    <row r="206" spans="1:10" ht="12.75" customHeight="1">
      <c r="A206" s="158"/>
      <c r="B206" s="156"/>
      <c r="C206" s="156"/>
      <c r="D206" s="156"/>
      <c r="E206" s="156"/>
      <c r="F206" s="156"/>
      <c r="G206" s="156"/>
      <c r="H206" s="156"/>
      <c r="I206" s="156"/>
      <c r="J206" s="157"/>
    </row>
    <row r="207" spans="1:10" ht="12.75" customHeight="1">
      <c r="A207" s="158"/>
      <c r="B207" s="156"/>
      <c r="C207" s="156"/>
      <c r="D207" s="156"/>
      <c r="E207" s="156"/>
      <c r="F207" s="156"/>
      <c r="G207" s="156"/>
      <c r="H207" s="156"/>
      <c r="I207" s="156"/>
      <c r="J207" s="157"/>
    </row>
    <row r="208" spans="1:10" ht="12.75" customHeight="1">
      <c r="A208" s="158"/>
      <c r="B208" s="156"/>
      <c r="C208" s="156"/>
      <c r="D208" s="156"/>
      <c r="E208" s="156"/>
      <c r="F208" s="156"/>
      <c r="G208" s="156"/>
      <c r="H208" s="156"/>
      <c r="I208" s="156"/>
      <c r="J208" s="157"/>
    </row>
    <row r="209" spans="1:10" ht="12.75" customHeight="1">
      <c r="A209" s="158"/>
      <c r="B209" s="156"/>
      <c r="C209" s="156"/>
      <c r="D209" s="156"/>
      <c r="E209" s="156"/>
      <c r="F209" s="156"/>
      <c r="G209" s="156"/>
      <c r="H209" s="156"/>
      <c r="I209" s="156"/>
      <c r="J209" s="157"/>
    </row>
    <row r="210" spans="1:10" ht="12.75" customHeight="1">
      <c r="A210" s="158"/>
      <c r="B210" s="156"/>
      <c r="C210" s="156"/>
      <c r="D210" s="156"/>
      <c r="E210" s="156"/>
      <c r="F210" s="156"/>
      <c r="G210" s="156"/>
      <c r="H210" s="156"/>
      <c r="I210" s="156"/>
      <c r="J210" s="157"/>
    </row>
    <row r="211" spans="1:10" ht="12.75" customHeight="1">
      <c r="A211" s="158"/>
      <c r="B211" s="156"/>
      <c r="C211" s="156"/>
      <c r="D211" s="156"/>
      <c r="E211" s="156"/>
      <c r="F211" s="156"/>
      <c r="G211" s="156"/>
      <c r="H211" s="156"/>
      <c r="I211" s="156"/>
      <c r="J211" s="157"/>
    </row>
    <row r="212" spans="1:10" ht="12.75" customHeight="1">
      <c r="A212" s="158"/>
      <c r="B212" s="156"/>
      <c r="C212" s="156"/>
      <c r="D212" s="156"/>
      <c r="E212" s="156"/>
      <c r="F212" s="156"/>
      <c r="G212" s="156"/>
      <c r="H212" s="156"/>
      <c r="I212" s="156"/>
      <c r="J212" s="157"/>
    </row>
    <row r="213" spans="1:10" ht="12.75" customHeight="1">
      <c r="A213" s="158"/>
      <c r="B213" s="156"/>
      <c r="C213" s="156"/>
      <c r="D213" s="156"/>
      <c r="E213" s="156"/>
      <c r="F213" s="156"/>
      <c r="G213" s="156"/>
      <c r="H213" s="156"/>
      <c r="I213" s="156"/>
      <c r="J213" s="157"/>
    </row>
    <row r="214" spans="1:10" ht="12.75" customHeight="1">
      <c r="A214" s="158"/>
      <c r="B214" s="156"/>
      <c r="C214" s="156"/>
      <c r="D214" s="156"/>
      <c r="E214" s="156"/>
      <c r="F214" s="156"/>
      <c r="G214" s="156"/>
      <c r="H214" s="156"/>
      <c r="I214" s="156"/>
      <c r="J214" s="157"/>
    </row>
    <row r="215" spans="1:10" ht="12.75" customHeight="1">
      <c r="A215" s="158"/>
      <c r="B215" s="156"/>
      <c r="C215" s="156"/>
      <c r="D215" s="156"/>
      <c r="E215" s="156"/>
      <c r="F215" s="156"/>
      <c r="G215" s="156"/>
      <c r="H215" s="156"/>
      <c r="I215" s="156"/>
      <c r="J215" s="157"/>
    </row>
    <row r="216" spans="1:10" ht="12.75" customHeight="1">
      <c r="A216" s="158"/>
      <c r="B216" s="156"/>
      <c r="C216" s="156"/>
      <c r="D216" s="156"/>
      <c r="E216" s="156"/>
      <c r="F216" s="156"/>
      <c r="G216" s="156"/>
      <c r="H216" s="156"/>
      <c r="I216" s="156"/>
      <c r="J216" s="157"/>
    </row>
    <row r="217" spans="1:10" ht="12.75" customHeight="1">
      <c r="A217" s="158"/>
      <c r="B217" s="156"/>
      <c r="C217" s="156"/>
      <c r="D217" s="156"/>
      <c r="E217" s="156"/>
      <c r="F217" s="156"/>
      <c r="G217" s="156"/>
      <c r="H217" s="156"/>
      <c r="I217" s="156"/>
      <c r="J217" s="157"/>
    </row>
    <row r="218" spans="1:10" ht="12.75" customHeight="1">
      <c r="A218" s="158"/>
      <c r="B218" s="156"/>
      <c r="C218" s="156"/>
      <c r="D218" s="156"/>
      <c r="E218" s="156"/>
      <c r="F218" s="156"/>
      <c r="G218" s="156"/>
      <c r="H218" s="156"/>
      <c r="I218" s="156"/>
      <c r="J218" s="157"/>
    </row>
    <row r="219" spans="1:10" ht="12.75" customHeight="1">
      <c r="A219" s="158"/>
      <c r="B219" s="156"/>
      <c r="C219" s="156"/>
      <c r="D219" s="156"/>
      <c r="E219" s="156"/>
      <c r="F219" s="156"/>
      <c r="G219" s="156"/>
      <c r="H219" s="156"/>
      <c r="I219" s="156"/>
      <c r="J219" s="157"/>
    </row>
    <row r="220" spans="1:10" ht="12.75" customHeight="1">
      <c r="A220" s="199"/>
      <c r="B220" s="167"/>
      <c r="C220" s="167"/>
      <c r="D220" s="167"/>
      <c r="E220" s="167"/>
      <c r="F220" s="167"/>
      <c r="G220" s="167"/>
      <c r="H220" s="167"/>
      <c r="I220" s="167"/>
      <c r="J220" s="168"/>
    </row>
    <row r="221" spans="1:10" ht="12.75" customHeight="1"/>
    <row r="222" spans="1:10" ht="12.75" customHeight="1">
      <c r="A222" s="207" t="s">
        <v>65</v>
      </c>
      <c r="B222" s="152"/>
      <c r="C222" s="152"/>
      <c r="D222" s="152"/>
      <c r="E222" s="152"/>
      <c r="F222" s="152"/>
      <c r="G222" s="181"/>
      <c r="H222" s="208" t="str">
        <f>'CONTACT INFORMATION'!$A$24</f>
        <v>Humboldt</v>
      </c>
      <c r="I222" s="152"/>
      <c r="J222" s="153"/>
    </row>
    <row r="223" spans="1:10" ht="12.75" customHeight="1">
      <c r="A223" s="107"/>
      <c r="B223" s="107"/>
      <c r="C223" s="107"/>
      <c r="D223" s="107"/>
      <c r="E223" s="107"/>
      <c r="F223" s="107"/>
      <c r="G223" s="107"/>
      <c r="H223" s="107"/>
      <c r="I223" s="107"/>
      <c r="J223" s="107"/>
    </row>
    <row r="224" spans="1:10" ht="12.75" customHeight="1">
      <c r="A224" s="251" t="s">
        <v>193</v>
      </c>
      <c r="B224" s="152"/>
      <c r="C224" s="152"/>
      <c r="D224" s="152"/>
      <c r="E224" s="152"/>
      <c r="F224" s="152"/>
      <c r="G224" s="152"/>
      <c r="H224" s="152"/>
      <c r="I224" s="152"/>
      <c r="J224" s="153"/>
    </row>
    <row r="225" spans="1:10" ht="12.75" customHeight="1">
      <c r="A225" s="252" t="s">
        <v>140</v>
      </c>
      <c r="B225" s="163"/>
      <c r="C225" s="163"/>
      <c r="D225" s="164"/>
      <c r="E225" s="269"/>
      <c r="F225" s="197"/>
      <c r="G225" s="197"/>
      <c r="H225" s="197"/>
      <c r="I225" s="197"/>
      <c r="J225" s="198"/>
    </row>
    <row r="226" spans="1:10" ht="12.75" customHeight="1">
      <c r="A226" s="254" t="s">
        <v>161</v>
      </c>
      <c r="B226" s="149"/>
      <c r="C226" s="149"/>
      <c r="D226" s="150"/>
      <c r="E226" s="199"/>
      <c r="F226" s="167"/>
      <c r="G226" s="167"/>
      <c r="H226" s="167"/>
      <c r="I226" s="167"/>
      <c r="J226" s="168"/>
    </row>
    <row r="227" spans="1:10" ht="12.75" customHeight="1">
      <c r="A227" s="259" t="s">
        <v>194</v>
      </c>
      <c r="B227" s="152"/>
      <c r="C227" s="152"/>
      <c r="D227" s="153"/>
      <c r="E227" s="204"/>
      <c r="F227" s="152"/>
      <c r="G227" s="152"/>
      <c r="H227" s="152"/>
      <c r="I227" s="152"/>
      <c r="J227" s="153"/>
    </row>
    <row r="228" spans="1:10" ht="12.75" customHeight="1">
      <c r="A228" s="108"/>
      <c r="B228" s="104"/>
      <c r="C228" s="104"/>
      <c r="D228" s="104"/>
      <c r="E228" s="255" t="s">
        <v>143</v>
      </c>
      <c r="F228" s="167"/>
      <c r="G228" s="255" t="s">
        <v>144</v>
      </c>
      <c r="H228" s="167"/>
      <c r="I228" s="256" t="s">
        <v>145</v>
      </c>
      <c r="J228" s="168"/>
    </row>
    <row r="229" spans="1:10" ht="12.75" customHeight="1">
      <c r="A229" s="220" t="s">
        <v>146</v>
      </c>
      <c r="B229" s="152"/>
      <c r="C229" s="152"/>
      <c r="D229" s="153"/>
      <c r="E229" s="239"/>
      <c r="F229" s="153"/>
      <c r="G229" s="239"/>
      <c r="H229" s="153"/>
      <c r="I229" s="240"/>
      <c r="J229" s="153"/>
    </row>
    <row r="230" spans="1:10" ht="12.75" customHeight="1">
      <c r="A230" s="241" t="s">
        <v>147</v>
      </c>
      <c r="B230" s="152"/>
      <c r="C230" s="152"/>
      <c r="D230" s="153"/>
      <c r="E230" s="264"/>
      <c r="F230" s="153"/>
      <c r="G230" s="257"/>
      <c r="H230" s="153"/>
      <c r="I230" s="258"/>
      <c r="J230" s="153"/>
    </row>
    <row r="231" spans="1:10" ht="12.75" customHeight="1">
      <c r="A231" s="220" t="s">
        <v>148</v>
      </c>
      <c r="B231" s="152"/>
      <c r="C231" s="152"/>
      <c r="D231" s="153"/>
      <c r="E231" s="239"/>
      <c r="F231" s="153"/>
      <c r="G231" s="239"/>
      <c r="H231" s="153"/>
      <c r="I231" s="240"/>
      <c r="J231" s="153"/>
    </row>
    <row r="232" spans="1:10" ht="12.75" customHeight="1">
      <c r="A232" s="241" t="s">
        <v>149</v>
      </c>
      <c r="B232" s="152"/>
      <c r="C232" s="152"/>
      <c r="D232" s="153"/>
      <c r="E232" s="264"/>
      <c r="F232" s="153"/>
      <c r="G232" s="257"/>
      <c r="H232" s="153"/>
      <c r="I232" s="258"/>
      <c r="J232" s="153"/>
    </row>
    <row r="233" spans="1:10" ht="12.75" customHeight="1">
      <c r="A233" s="220" t="s">
        <v>150</v>
      </c>
      <c r="B233" s="152"/>
      <c r="C233" s="152"/>
      <c r="D233" s="153"/>
      <c r="E233" s="239"/>
      <c r="F233" s="153"/>
      <c r="G233" s="239"/>
      <c r="H233" s="153"/>
      <c r="I233" s="240"/>
      <c r="J233" s="153"/>
    </row>
    <row r="234" spans="1:10" ht="12.75" customHeight="1">
      <c r="A234" s="241" t="s">
        <v>151</v>
      </c>
      <c r="B234" s="152"/>
      <c r="C234" s="152"/>
      <c r="D234" s="153"/>
      <c r="E234" s="264"/>
      <c r="F234" s="153"/>
      <c r="G234" s="257"/>
      <c r="H234" s="153"/>
      <c r="I234" s="258"/>
      <c r="J234" s="153"/>
    </row>
    <row r="235" spans="1:10" ht="12.75" customHeight="1">
      <c r="A235" s="220" t="s">
        <v>152</v>
      </c>
      <c r="B235" s="152"/>
      <c r="C235" s="152"/>
      <c r="D235" s="153"/>
      <c r="E235" s="262"/>
      <c r="F235" s="153"/>
      <c r="G235" s="262"/>
      <c r="H235" s="153"/>
      <c r="I235" s="263"/>
      <c r="J235" s="153"/>
    </row>
    <row r="236" spans="1:10" ht="12.75" customHeight="1">
      <c r="A236" s="265"/>
      <c r="B236" s="152"/>
      <c r="C236" s="152"/>
      <c r="D236" s="153"/>
      <c r="E236" s="264"/>
      <c r="F236" s="153"/>
      <c r="G236" s="257"/>
      <c r="H236" s="153"/>
      <c r="I236" s="257"/>
      <c r="J236" s="153"/>
    </row>
    <row r="237" spans="1:10" ht="12.75" customHeight="1">
      <c r="A237" s="265"/>
      <c r="B237" s="152"/>
      <c r="C237" s="152"/>
      <c r="D237" s="153"/>
      <c r="E237" s="264"/>
      <c r="F237" s="153"/>
      <c r="G237" s="257"/>
      <c r="H237" s="153"/>
      <c r="I237" s="257"/>
      <c r="J237" s="153"/>
    </row>
    <row r="238" spans="1:10" ht="12.75" customHeight="1">
      <c r="A238" s="265"/>
      <c r="B238" s="152"/>
      <c r="C238" s="152"/>
      <c r="D238" s="153"/>
      <c r="E238" s="264"/>
      <c r="F238" s="153"/>
      <c r="G238" s="257"/>
      <c r="H238" s="153"/>
      <c r="I238" s="257"/>
      <c r="J238" s="153"/>
    </row>
    <row r="239" spans="1:10" ht="12.75" customHeight="1">
      <c r="A239" s="222" t="s">
        <v>153</v>
      </c>
      <c r="B239" s="152"/>
      <c r="C239" s="152"/>
      <c r="D239" s="153"/>
      <c r="E239" s="266">
        <f>SUM(E229:E238)</f>
        <v>0</v>
      </c>
      <c r="F239" s="153"/>
      <c r="G239" s="266">
        <f>SUM(G229:G238)</f>
        <v>0</v>
      </c>
      <c r="H239" s="153"/>
      <c r="I239" s="266">
        <f>SUM(I229:I238)</f>
        <v>0</v>
      </c>
      <c r="J239" s="153"/>
    </row>
    <row r="240" spans="1:10" ht="12.75" customHeight="1">
      <c r="A240" s="267" t="s">
        <v>154</v>
      </c>
      <c r="B240" s="163"/>
      <c r="C240" s="163"/>
      <c r="D240" s="163"/>
      <c r="E240" s="163"/>
      <c r="F240" s="163"/>
      <c r="G240" s="163"/>
      <c r="H240" s="163"/>
      <c r="I240" s="163"/>
      <c r="J240" s="164"/>
    </row>
    <row r="241" spans="1:10" ht="12.75" customHeight="1">
      <c r="A241" s="268" t="s">
        <v>155</v>
      </c>
      <c r="B241" s="171"/>
      <c r="C241" s="171"/>
      <c r="D241" s="171"/>
      <c r="E241" s="171"/>
      <c r="F241" s="171"/>
      <c r="G241" s="171"/>
      <c r="H241" s="171"/>
      <c r="I241" s="171"/>
      <c r="J241" s="172"/>
    </row>
    <row r="242" spans="1:10" ht="12.75" customHeight="1">
      <c r="A242" s="268" t="s">
        <v>156</v>
      </c>
      <c r="B242" s="171"/>
      <c r="C242" s="171"/>
      <c r="D242" s="171"/>
      <c r="E242" s="171"/>
      <c r="F242" s="171"/>
      <c r="G242" s="171"/>
      <c r="H242" s="171"/>
      <c r="I242" s="171"/>
      <c r="J242" s="172"/>
    </row>
    <row r="243" spans="1:10" ht="12.75" customHeight="1">
      <c r="A243" s="260" t="s">
        <v>157</v>
      </c>
      <c r="B243" s="149"/>
      <c r="C243" s="149"/>
      <c r="D243" s="149"/>
      <c r="E243" s="149"/>
      <c r="F243" s="149"/>
      <c r="G243" s="149"/>
      <c r="H243" s="149"/>
      <c r="I243" s="149"/>
      <c r="J243" s="150"/>
    </row>
    <row r="244" spans="1:10" ht="12.75" customHeight="1">
      <c r="A244" s="196"/>
      <c r="B244" s="197"/>
      <c r="C244" s="197"/>
      <c r="D244" s="197"/>
      <c r="E244" s="197"/>
      <c r="F244" s="197"/>
      <c r="G244" s="197"/>
      <c r="H244" s="197"/>
      <c r="I244" s="197"/>
      <c r="J244" s="198"/>
    </row>
    <row r="245" spans="1:10" ht="12.75" customHeight="1">
      <c r="A245" s="158"/>
      <c r="B245" s="156"/>
      <c r="C245" s="156"/>
      <c r="D245" s="156"/>
      <c r="E245" s="156"/>
      <c r="F245" s="156"/>
      <c r="G245" s="156"/>
      <c r="H245" s="156"/>
      <c r="I245" s="156"/>
      <c r="J245" s="157"/>
    </row>
    <row r="246" spans="1:10" ht="12.75" customHeight="1">
      <c r="A246" s="158"/>
      <c r="B246" s="156"/>
      <c r="C246" s="156"/>
      <c r="D246" s="156"/>
      <c r="E246" s="156"/>
      <c r="F246" s="156"/>
      <c r="G246" s="156"/>
      <c r="H246" s="156"/>
      <c r="I246" s="156"/>
      <c r="J246" s="157"/>
    </row>
    <row r="247" spans="1:10" ht="12.75" customHeight="1">
      <c r="A247" s="158"/>
      <c r="B247" s="156"/>
      <c r="C247" s="156"/>
      <c r="D247" s="156"/>
      <c r="E247" s="156"/>
      <c r="F247" s="156"/>
      <c r="G247" s="156"/>
      <c r="H247" s="156"/>
      <c r="I247" s="156"/>
      <c r="J247" s="157"/>
    </row>
    <row r="248" spans="1:10" ht="12.75" customHeight="1">
      <c r="A248" s="158"/>
      <c r="B248" s="156"/>
      <c r="C248" s="156"/>
      <c r="D248" s="156"/>
      <c r="E248" s="156"/>
      <c r="F248" s="156"/>
      <c r="G248" s="156"/>
      <c r="H248" s="156"/>
      <c r="I248" s="156"/>
      <c r="J248" s="157"/>
    </row>
    <row r="249" spans="1:10" ht="12.75" customHeight="1">
      <c r="A249" s="158"/>
      <c r="B249" s="156"/>
      <c r="C249" s="156"/>
      <c r="D249" s="156"/>
      <c r="E249" s="156"/>
      <c r="F249" s="156"/>
      <c r="G249" s="156"/>
      <c r="H249" s="156"/>
      <c r="I249" s="156"/>
      <c r="J249" s="157"/>
    </row>
    <row r="250" spans="1:10" ht="12.75" customHeight="1">
      <c r="A250" s="158"/>
      <c r="B250" s="156"/>
      <c r="C250" s="156"/>
      <c r="D250" s="156"/>
      <c r="E250" s="156"/>
      <c r="F250" s="156"/>
      <c r="G250" s="156"/>
      <c r="H250" s="156"/>
      <c r="I250" s="156"/>
      <c r="J250" s="157"/>
    </row>
    <row r="251" spans="1:10" ht="12.75" customHeight="1">
      <c r="A251" s="158"/>
      <c r="B251" s="156"/>
      <c r="C251" s="156"/>
      <c r="D251" s="156"/>
      <c r="E251" s="156"/>
      <c r="F251" s="156"/>
      <c r="G251" s="156"/>
      <c r="H251" s="156"/>
      <c r="I251" s="156"/>
      <c r="J251" s="157"/>
    </row>
    <row r="252" spans="1:10" ht="12.75" customHeight="1">
      <c r="A252" s="158"/>
      <c r="B252" s="156"/>
      <c r="C252" s="156"/>
      <c r="D252" s="156"/>
      <c r="E252" s="156"/>
      <c r="F252" s="156"/>
      <c r="G252" s="156"/>
      <c r="H252" s="156"/>
      <c r="I252" s="156"/>
      <c r="J252" s="157"/>
    </row>
    <row r="253" spans="1:10" ht="12.75" customHeight="1">
      <c r="A253" s="158"/>
      <c r="B253" s="156"/>
      <c r="C253" s="156"/>
      <c r="D253" s="156"/>
      <c r="E253" s="156"/>
      <c r="F253" s="156"/>
      <c r="G253" s="156"/>
      <c r="H253" s="156"/>
      <c r="I253" s="156"/>
      <c r="J253" s="157"/>
    </row>
    <row r="254" spans="1:10" ht="12.75" customHeight="1">
      <c r="A254" s="158"/>
      <c r="B254" s="156"/>
      <c r="C254" s="156"/>
      <c r="D254" s="156"/>
      <c r="E254" s="156"/>
      <c r="F254" s="156"/>
      <c r="G254" s="156"/>
      <c r="H254" s="156"/>
      <c r="I254" s="156"/>
      <c r="J254" s="157"/>
    </row>
    <row r="255" spans="1:10" ht="12.75" customHeight="1">
      <c r="A255" s="158"/>
      <c r="B255" s="156"/>
      <c r="C255" s="156"/>
      <c r="D255" s="156"/>
      <c r="E255" s="156"/>
      <c r="F255" s="156"/>
      <c r="G255" s="156"/>
      <c r="H255" s="156"/>
      <c r="I255" s="156"/>
      <c r="J255" s="157"/>
    </row>
    <row r="256" spans="1:10" ht="12.75" customHeight="1">
      <c r="A256" s="158"/>
      <c r="B256" s="156"/>
      <c r="C256" s="156"/>
      <c r="D256" s="156"/>
      <c r="E256" s="156"/>
      <c r="F256" s="156"/>
      <c r="G256" s="156"/>
      <c r="H256" s="156"/>
      <c r="I256" s="156"/>
      <c r="J256" s="157"/>
    </row>
    <row r="257" spans="1:10" ht="12.75" customHeight="1">
      <c r="A257" s="158"/>
      <c r="B257" s="156"/>
      <c r="C257" s="156"/>
      <c r="D257" s="156"/>
      <c r="E257" s="156"/>
      <c r="F257" s="156"/>
      <c r="G257" s="156"/>
      <c r="H257" s="156"/>
      <c r="I257" s="156"/>
      <c r="J257" s="157"/>
    </row>
    <row r="258" spans="1:10" ht="12.75" customHeight="1">
      <c r="A258" s="158"/>
      <c r="B258" s="156"/>
      <c r="C258" s="156"/>
      <c r="D258" s="156"/>
      <c r="E258" s="156"/>
      <c r="F258" s="156"/>
      <c r="G258" s="156"/>
      <c r="H258" s="156"/>
      <c r="I258" s="156"/>
      <c r="J258" s="157"/>
    </row>
    <row r="259" spans="1:10" ht="12.75" customHeight="1">
      <c r="A259" s="158"/>
      <c r="B259" s="156"/>
      <c r="C259" s="156"/>
      <c r="D259" s="156"/>
      <c r="E259" s="156"/>
      <c r="F259" s="156"/>
      <c r="G259" s="156"/>
      <c r="H259" s="156"/>
      <c r="I259" s="156"/>
      <c r="J259" s="157"/>
    </row>
    <row r="260" spans="1:10" ht="12.75" customHeight="1">
      <c r="A260" s="158"/>
      <c r="B260" s="156"/>
      <c r="C260" s="156"/>
      <c r="D260" s="156"/>
      <c r="E260" s="156"/>
      <c r="F260" s="156"/>
      <c r="G260" s="156"/>
      <c r="H260" s="156"/>
      <c r="I260" s="156"/>
      <c r="J260" s="157"/>
    </row>
    <row r="261" spans="1:10" ht="12.75" customHeight="1">
      <c r="A261" s="158"/>
      <c r="B261" s="156"/>
      <c r="C261" s="156"/>
      <c r="D261" s="156"/>
      <c r="E261" s="156"/>
      <c r="F261" s="156"/>
      <c r="G261" s="156"/>
      <c r="H261" s="156"/>
      <c r="I261" s="156"/>
      <c r="J261" s="157"/>
    </row>
    <row r="262" spans="1:10" ht="12.75" customHeight="1">
      <c r="A262" s="158"/>
      <c r="B262" s="156"/>
      <c r="C262" s="156"/>
      <c r="D262" s="156"/>
      <c r="E262" s="156"/>
      <c r="F262" s="156"/>
      <c r="G262" s="156"/>
      <c r="H262" s="156"/>
      <c r="I262" s="156"/>
      <c r="J262" s="157"/>
    </row>
    <row r="263" spans="1:10" ht="12.75" customHeight="1">
      <c r="A263" s="158"/>
      <c r="B263" s="156"/>
      <c r="C263" s="156"/>
      <c r="D263" s="156"/>
      <c r="E263" s="156"/>
      <c r="F263" s="156"/>
      <c r="G263" s="156"/>
      <c r="H263" s="156"/>
      <c r="I263" s="156"/>
      <c r="J263" s="157"/>
    </row>
    <row r="264" spans="1:10" ht="12.75" customHeight="1">
      <c r="A264" s="158"/>
      <c r="B264" s="156"/>
      <c r="C264" s="156"/>
      <c r="D264" s="156"/>
      <c r="E264" s="156"/>
      <c r="F264" s="156"/>
      <c r="G264" s="156"/>
      <c r="H264" s="156"/>
      <c r="I264" s="156"/>
      <c r="J264" s="157"/>
    </row>
    <row r="265" spans="1:10" ht="12.75" customHeight="1">
      <c r="A265" s="158"/>
      <c r="B265" s="156"/>
      <c r="C265" s="156"/>
      <c r="D265" s="156"/>
      <c r="E265" s="156"/>
      <c r="F265" s="156"/>
      <c r="G265" s="156"/>
      <c r="H265" s="156"/>
      <c r="I265" s="156"/>
      <c r="J265" s="157"/>
    </row>
    <row r="266" spans="1:10" ht="12.75" customHeight="1">
      <c r="A266" s="158"/>
      <c r="B266" s="156"/>
      <c r="C266" s="156"/>
      <c r="D266" s="156"/>
      <c r="E266" s="156"/>
      <c r="F266" s="156"/>
      <c r="G266" s="156"/>
      <c r="H266" s="156"/>
      <c r="I266" s="156"/>
      <c r="J266" s="157"/>
    </row>
    <row r="267" spans="1:10" ht="12.75" customHeight="1">
      <c r="A267" s="158"/>
      <c r="B267" s="156"/>
      <c r="C267" s="156"/>
      <c r="D267" s="156"/>
      <c r="E267" s="156"/>
      <c r="F267" s="156"/>
      <c r="G267" s="156"/>
      <c r="H267" s="156"/>
      <c r="I267" s="156"/>
      <c r="J267" s="157"/>
    </row>
    <row r="268" spans="1:10" ht="12.75" customHeight="1">
      <c r="A268" s="158"/>
      <c r="B268" s="156"/>
      <c r="C268" s="156"/>
      <c r="D268" s="156"/>
      <c r="E268" s="156"/>
      <c r="F268" s="156"/>
      <c r="G268" s="156"/>
      <c r="H268" s="156"/>
      <c r="I268" s="156"/>
      <c r="J268" s="157"/>
    </row>
    <row r="269" spans="1:10" ht="12.75" customHeight="1">
      <c r="A269" s="158"/>
      <c r="B269" s="156"/>
      <c r="C269" s="156"/>
      <c r="D269" s="156"/>
      <c r="E269" s="156"/>
      <c r="F269" s="156"/>
      <c r="G269" s="156"/>
      <c r="H269" s="156"/>
      <c r="I269" s="156"/>
      <c r="J269" s="157"/>
    </row>
    <row r="270" spans="1:10" ht="12.75" customHeight="1">
      <c r="A270" s="158"/>
      <c r="B270" s="156"/>
      <c r="C270" s="156"/>
      <c r="D270" s="156"/>
      <c r="E270" s="156"/>
      <c r="F270" s="156"/>
      <c r="G270" s="156"/>
      <c r="H270" s="156"/>
      <c r="I270" s="156"/>
      <c r="J270" s="157"/>
    </row>
    <row r="271" spans="1:10" ht="12.75" customHeight="1">
      <c r="A271" s="158"/>
      <c r="B271" s="156"/>
      <c r="C271" s="156"/>
      <c r="D271" s="156"/>
      <c r="E271" s="156"/>
      <c r="F271" s="156"/>
      <c r="G271" s="156"/>
      <c r="H271" s="156"/>
      <c r="I271" s="156"/>
      <c r="J271" s="157"/>
    </row>
    <row r="272" spans="1:10" ht="12.75" customHeight="1">
      <c r="A272" s="158"/>
      <c r="B272" s="156"/>
      <c r="C272" s="156"/>
      <c r="D272" s="156"/>
      <c r="E272" s="156"/>
      <c r="F272" s="156"/>
      <c r="G272" s="156"/>
      <c r="H272" s="156"/>
      <c r="I272" s="156"/>
      <c r="J272" s="157"/>
    </row>
    <row r="273" spans="1:10" ht="12.75" customHeight="1">
      <c r="A273" s="158"/>
      <c r="B273" s="156"/>
      <c r="C273" s="156"/>
      <c r="D273" s="156"/>
      <c r="E273" s="156"/>
      <c r="F273" s="156"/>
      <c r="G273" s="156"/>
      <c r="H273" s="156"/>
      <c r="I273" s="156"/>
      <c r="J273" s="157"/>
    </row>
    <row r="274" spans="1:10" ht="12.75" customHeight="1">
      <c r="A274" s="158"/>
      <c r="B274" s="156"/>
      <c r="C274" s="156"/>
      <c r="D274" s="156"/>
      <c r="E274" s="156"/>
      <c r="F274" s="156"/>
      <c r="G274" s="156"/>
      <c r="H274" s="156"/>
      <c r="I274" s="156"/>
      <c r="J274" s="157"/>
    </row>
    <row r="275" spans="1:10" ht="12.75" customHeight="1">
      <c r="A275" s="199"/>
      <c r="B275" s="167"/>
      <c r="C275" s="167"/>
      <c r="D275" s="167"/>
      <c r="E275" s="167"/>
      <c r="F275" s="167"/>
      <c r="G275" s="167"/>
      <c r="H275" s="167"/>
      <c r="I275" s="167"/>
      <c r="J275" s="168"/>
    </row>
    <row r="276" spans="1:10" ht="12.75" customHeight="1"/>
    <row r="277" spans="1:10" ht="12.75" customHeight="1">
      <c r="A277" s="207" t="s">
        <v>65</v>
      </c>
      <c r="B277" s="152"/>
      <c r="C277" s="152"/>
      <c r="D277" s="152"/>
      <c r="E277" s="152"/>
      <c r="F277" s="152"/>
      <c r="G277" s="181"/>
      <c r="H277" s="208" t="str">
        <f>'CONTACT INFORMATION'!$A$24</f>
        <v>Humboldt</v>
      </c>
      <c r="I277" s="152"/>
      <c r="J277" s="153"/>
    </row>
    <row r="278" spans="1:10" ht="12.75" customHeight="1">
      <c r="A278" s="66"/>
      <c r="B278" s="66"/>
      <c r="C278" s="66"/>
      <c r="D278" s="66"/>
      <c r="E278" s="66"/>
      <c r="F278" s="66"/>
      <c r="G278" s="66"/>
      <c r="H278" s="66"/>
      <c r="I278" s="66"/>
      <c r="J278" s="66"/>
    </row>
    <row r="279" spans="1:10" ht="12.75" customHeight="1">
      <c r="A279" s="251" t="s">
        <v>195</v>
      </c>
      <c r="B279" s="152"/>
      <c r="C279" s="152"/>
      <c r="D279" s="152"/>
      <c r="E279" s="152"/>
      <c r="F279" s="152"/>
      <c r="G279" s="152"/>
      <c r="H279" s="152"/>
      <c r="I279" s="152"/>
      <c r="J279" s="153"/>
    </row>
    <row r="280" spans="1:10" ht="12.75" customHeight="1">
      <c r="A280" s="252" t="s">
        <v>140</v>
      </c>
      <c r="B280" s="163"/>
      <c r="C280" s="163"/>
      <c r="D280" s="164"/>
      <c r="E280" s="269"/>
      <c r="F280" s="197"/>
      <c r="G280" s="197"/>
      <c r="H280" s="197"/>
      <c r="I280" s="197"/>
      <c r="J280" s="198"/>
    </row>
    <row r="281" spans="1:10" ht="12.75" customHeight="1">
      <c r="A281" s="254" t="s">
        <v>161</v>
      </c>
      <c r="B281" s="149"/>
      <c r="C281" s="149"/>
      <c r="D281" s="150"/>
      <c r="E281" s="199"/>
      <c r="F281" s="167"/>
      <c r="G281" s="167"/>
      <c r="H281" s="167"/>
      <c r="I281" s="167"/>
      <c r="J281" s="168"/>
    </row>
    <row r="282" spans="1:10" ht="12.75" customHeight="1">
      <c r="A282" s="259" t="s">
        <v>196</v>
      </c>
      <c r="B282" s="152"/>
      <c r="C282" s="152"/>
      <c r="D282" s="153"/>
      <c r="E282" s="221"/>
      <c r="F282" s="152"/>
      <c r="G282" s="152"/>
      <c r="H282" s="152"/>
      <c r="I282" s="152"/>
      <c r="J282" s="153"/>
    </row>
    <row r="283" spans="1:10" ht="12.75" customHeight="1">
      <c r="A283" s="53"/>
      <c r="B283" s="55"/>
      <c r="C283" s="55"/>
      <c r="D283" s="55"/>
      <c r="E283" s="278" t="s">
        <v>143</v>
      </c>
      <c r="F283" s="152"/>
      <c r="G283" s="278" t="s">
        <v>144</v>
      </c>
      <c r="H283" s="152"/>
      <c r="I283" s="279" t="s">
        <v>145</v>
      </c>
      <c r="J283" s="153"/>
    </row>
    <row r="284" spans="1:10" ht="12.75" customHeight="1">
      <c r="A284" s="220" t="s">
        <v>146</v>
      </c>
      <c r="B284" s="152"/>
      <c r="C284" s="152"/>
      <c r="D284" s="153"/>
      <c r="E284" s="239"/>
      <c r="F284" s="153"/>
      <c r="G284" s="239"/>
      <c r="H284" s="153"/>
      <c r="I284" s="240"/>
      <c r="J284" s="153"/>
    </row>
    <row r="285" spans="1:10" ht="12.75" customHeight="1">
      <c r="A285" s="241" t="s">
        <v>147</v>
      </c>
      <c r="B285" s="152"/>
      <c r="C285" s="152"/>
      <c r="D285" s="153"/>
      <c r="E285" s="264"/>
      <c r="F285" s="153"/>
      <c r="G285" s="257"/>
      <c r="H285" s="153"/>
      <c r="I285" s="258"/>
      <c r="J285" s="153"/>
    </row>
    <row r="286" spans="1:10" ht="12.75" customHeight="1">
      <c r="A286" s="220" t="s">
        <v>148</v>
      </c>
      <c r="B286" s="152"/>
      <c r="C286" s="152"/>
      <c r="D286" s="153"/>
      <c r="E286" s="239"/>
      <c r="F286" s="153"/>
      <c r="G286" s="239"/>
      <c r="H286" s="153"/>
      <c r="I286" s="240"/>
      <c r="J286" s="153"/>
    </row>
    <row r="287" spans="1:10" ht="12.75" customHeight="1">
      <c r="A287" s="241" t="s">
        <v>149</v>
      </c>
      <c r="B287" s="152"/>
      <c r="C287" s="152"/>
      <c r="D287" s="153"/>
      <c r="E287" s="264"/>
      <c r="F287" s="153"/>
      <c r="G287" s="257"/>
      <c r="H287" s="153"/>
      <c r="I287" s="258"/>
      <c r="J287" s="153"/>
    </row>
    <row r="288" spans="1:10" ht="12.75" customHeight="1">
      <c r="A288" s="220" t="s">
        <v>150</v>
      </c>
      <c r="B288" s="152"/>
      <c r="C288" s="152"/>
      <c r="D288" s="153"/>
      <c r="E288" s="239"/>
      <c r="F288" s="153"/>
      <c r="G288" s="239"/>
      <c r="H288" s="153"/>
      <c r="I288" s="240"/>
      <c r="J288" s="153"/>
    </row>
    <row r="289" spans="1:10" ht="12.75" customHeight="1">
      <c r="A289" s="241" t="s">
        <v>151</v>
      </c>
      <c r="B289" s="152"/>
      <c r="C289" s="152"/>
      <c r="D289" s="153"/>
      <c r="E289" s="264"/>
      <c r="F289" s="153"/>
      <c r="G289" s="257"/>
      <c r="H289" s="153"/>
      <c r="I289" s="258"/>
      <c r="J289" s="153"/>
    </row>
    <row r="290" spans="1:10" ht="12.75" customHeight="1">
      <c r="A290" s="220" t="s">
        <v>152</v>
      </c>
      <c r="B290" s="152"/>
      <c r="C290" s="152"/>
      <c r="D290" s="153"/>
      <c r="E290" s="262"/>
      <c r="F290" s="153"/>
      <c r="G290" s="262"/>
      <c r="H290" s="153"/>
      <c r="I290" s="263"/>
      <c r="J290" s="153"/>
    </row>
    <row r="291" spans="1:10" ht="12.75" customHeight="1">
      <c r="A291" s="265"/>
      <c r="B291" s="152"/>
      <c r="C291" s="152"/>
      <c r="D291" s="153"/>
      <c r="E291" s="264"/>
      <c r="F291" s="153"/>
      <c r="G291" s="257"/>
      <c r="H291" s="153"/>
      <c r="I291" s="257"/>
      <c r="J291" s="153"/>
    </row>
    <row r="292" spans="1:10" ht="12.75" customHeight="1">
      <c r="A292" s="265"/>
      <c r="B292" s="152"/>
      <c r="C292" s="152"/>
      <c r="D292" s="153"/>
      <c r="E292" s="264"/>
      <c r="F292" s="153"/>
      <c r="G292" s="257"/>
      <c r="H292" s="153"/>
      <c r="I292" s="257"/>
      <c r="J292" s="153"/>
    </row>
    <row r="293" spans="1:10" ht="12.75" customHeight="1">
      <c r="A293" s="265"/>
      <c r="B293" s="152"/>
      <c r="C293" s="152"/>
      <c r="D293" s="153"/>
      <c r="E293" s="264"/>
      <c r="F293" s="153"/>
      <c r="G293" s="257"/>
      <c r="H293" s="153"/>
      <c r="I293" s="257"/>
      <c r="J293" s="153"/>
    </row>
    <row r="294" spans="1:10" ht="12.75" customHeight="1">
      <c r="A294" s="222" t="s">
        <v>153</v>
      </c>
      <c r="B294" s="152"/>
      <c r="C294" s="152"/>
      <c r="D294" s="153"/>
      <c r="E294" s="266">
        <f>SUM(E284:E293)</f>
        <v>0</v>
      </c>
      <c r="F294" s="153"/>
      <c r="G294" s="266">
        <f>SUM(G284:G293)</f>
        <v>0</v>
      </c>
      <c r="H294" s="153"/>
      <c r="I294" s="266">
        <f>SUM(I284:I293)</f>
        <v>0</v>
      </c>
      <c r="J294" s="153"/>
    </row>
    <row r="295" spans="1:10" ht="12.75" customHeight="1">
      <c r="A295" s="267" t="s">
        <v>154</v>
      </c>
      <c r="B295" s="163"/>
      <c r="C295" s="163"/>
      <c r="D295" s="163"/>
      <c r="E295" s="163"/>
      <c r="F295" s="163"/>
      <c r="G295" s="163"/>
      <c r="H295" s="163"/>
      <c r="I295" s="163"/>
      <c r="J295" s="164"/>
    </row>
    <row r="296" spans="1:10" ht="12.75" customHeight="1">
      <c r="A296" s="268" t="s">
        <v>155</v>
      </c>
      <c r="B296" s="171"/>
      <c r="C296" s="171"/>
      <c r="D296" s="171"/>
      <c r="E296" s="171"/>
      <c r="F296" s="171"/>
      <c r="G296" s="171"/>
      <c r="H296" s="171"/>
      <c r="I296" s="171"/>
      <c r="J296" s="172"/>
    </row>
    <row r="297" spans="1:10" ht="12.75" customHeight="1">
      <c r="A297" s="268" t="s">
        <v>156</v>
      </c>
      <c r="B297" s="171"/>
      <c r="C297" s="171"/>
      <c r="D297" s="171"/>
      <c r="E297" s="171"/>
      <c r="F297" s="171"/>
      <c r="G297" s="171"/>
      <c r="H297" s="171"/>
      <c r="I297" s="171"/>
      <c r="J297" s="172"/>
    </row>
    <row r="298" spans="1:10" ht="12.75" customHeight="1">
      <c r="A298" s="260" t="s">
        <v>157</v>
      </c>
      <c r="B298" s="149"/>
      <c r="C298" s="149"/>
      <c r="D298" s="149"/>
      <c r="E298" s="149"/>
      <c r="F298" s="149"/>
      <c r="G298" s="149"/>
      <c r="H298" s="149"/>
      <c r="I298" s="149"/>
      <c r="J298" s="150"/>
    </row>
    <row r="299" spans="1:10" ht="12.75" customHeight="1">
      <c r="A299" s="261"/>
      <c r="B299" s="197"/>
      <c r="C299" s="197"/>
      <c r="D299" s="197"/>
      <c r="E299" s="197"/>
      <c r="F299" s="197"/>
      <c r="G299" s="197"/>
      <c r="H299" s="197"/>
      <c r="I299" s="197"/>
      <c r="J299" s="198"/>
    </row>
    <row r="300" spans="1:10" ht="12.75" customHeight="1">
      <c r="A300" s="158"/>
      <c r="B300" s="156"/>
      <c r="C300" s="156"/>
      <c r="D300" s="156"/>
      <c r="E300" s="156"/>
      <c r="F300" s="156"/>
      <c r="G300" s="156"/>
      <c r="H300" s="156"/>
      <c r="I300" s="156"/>
      <c r="J300" s="157"/>
    </row>
    <row r="301" spans="1:10" ht="12.75" customHeight="1">
      <c r="A301" s="158"/>
      <c r="B301" s="156"/>
      <c r="C301" s="156"/>
      <c r="D301" s="156"/>
      <c r="E301" s="156"/>
      <c r="F301" s="156"/>
      <c r="G301" s="156"/>
      <c r="H301" s="156"/>
      <c r="I301" s="156"/>
      <c r="J301" s="157"/>
    </row>
    <row r="302" spans="1:10" ht="12.75" customHeight="1">
      <c r="A302" s="158"/>
      <c r="B302" s="156"/>
      <c r="C302" s="156"/>
      <c r="D302" s="156"/>
      <c r="E302" s="156"/>
      <c r="F302" s="156"/>
      <c r="G302" s="156"/>
      <c r="H302" s="156"/>
      <c r="I302" s="156"/>
      <c r="J302" s="157"/>
    </row>
    <row r="303" spans="1:10" ht="12.75" customHeight="1">
      <c r="A303" s="158"/>
      <c r="B303" s="156"/>
      <c r="C303" s="156"/>
      <c r="D303" s="156"/>
      <c r="E303" s="156"/>
      <c r="F303" s="156"/>
      <c r="G303" s="156"/>
      <c r="H303" s="156"/>
      <c r="I303" s="156"/>
      <c r="J303" s="157"/>
    </row>
    <row r="304" spans="1:10" ht="12.75" customHeight="1">
      <c r="A304" s="158"/>
      <c r="B304" s="156"/>
      <c r="C304" s="156"/>
      <c r="D304" s="156"/>
      <c r="E304" s="156"/>
      <c r="F304" s="156"/>
      <c r="G304" s="156"/>
      <c r="H304" s="156"/>
      <c r="I304" s="156"/>
      <c r="J304" s="157"/>
    </row>
    <row r="305" spans="1:10" ht="12.75" customHeight="1">
      <c r="A305" s="158"/>
      <c r="B305" s="156"/>
      <c r="C305" s="156"/>
      <c r="D305" s="156"/>
      <c r="E305" s="156"/>
      <c r="F305" s="156"/>
      <c r="G305" s="156"/>
      <c r="H305" s="156"/>
      <c r="I305" s="156"/>
      <c r="J305" s="157"/>
    </row>
    <row r="306" spans="1:10" ht="12.75" customHeight="1">
      <c r="A306" s="158"/>
      <c r="B306" s="156"/>
      <c r="C306" s="156"/>
      <c r="D306" s="156"/>
      <c r="E306" s="156"/>
      <c r="F306" s="156"/>
      <c r="G306" s="156"/>
      <c r="H306" s="156"/>
      <c r="I306" s="156"/>
      <c r="J306" s="157"/>
    </row>
    <row r="307" spans="1:10" ht="12.75" customHeight="1">
      <c r="A307" s="158"/>
      <c r="B307" s="156"/>
      <c r="C307" s="156"/>
      <c r="D307" s="156"/>
      <c r="E307" s="156"/>
      <c r="F307" s="156"/>
      <c r="G307" s="156"/>
      <c r="H307" s="156"/>
      <c r="I307" s="156"/>
      <c r="J307" s="157"/>
    </row>
    <row r="308" spans="1:10" ht="12.75" customHeight="1">
      <c r="A308" s="158"/>
      <c r="B308" s="156"/>
      <c r="C308" s="156"/>
      <c r="D308" s="156"/>
      <c r="E308" s="156"/>
      <c r="F308" s="156"/>
      <c r="G308" s="156"/>
      <c r="H308" s="156"/>
      <c r="I308" s="156"/>
      <c r="J308" s="157"/>
    </row>
    <row r="309" spans="1:10" ht="12.75" customHeight="1">
      <c r="A309" s="158"/>
      <c r="B309" s="156"/>
      <c r="C309" s="156"/>
      <c r="D309" s="156"/>
      <c r="E309" s="156"/>
      <c r="F309" s="156"/>
      <c r="G309" s="156"/>
      <c r="H309" s="156"/>
      <c r="I309" s="156"/>
      <c r="J309" s="157"/>
    </row>
    <row r="310" spans="1:10" ht="12.75" customHeight="1">
      <c r="A310" s="158"/>
      <c r="B310" s="156"/>
      <c r="C310" s="156"/>
      <c r="D310" s="156"/>
      <c r="E310" s="156"/>
      <c r="F310" s="156"/>
      <c r="G310" s="156"/>
      <c r="H310" s="156"/>
      <c r="I310" s="156"/>
      <c r="J310" s="157"/>
    </row>
    <row r="311" spans="1:10" ht="12.75" customHeight="1">
      <c r="A311" s="158"/>
      <c r="B311" s="156"/>
      <c r="C311" s="156"/>
      <c r="D311" s="156"/>
      <c r="E311" s="156"/>
      <c r="F311" s="156"/>
      <c r="G311" s="156"/>
      <c r="H311" s="156"/>
      <c r="I311" s="156"/>
      <c r="J311" s="157"/>
    </row>
    <row r="312" spans="1:10" ht="12.75" customHeight="1">
      <c r="A312" s="158"/>
      <c r="B312" s="156"/>
      <c r="C312" s="156"/>
      <c r="D312" s="156"/>
      <c r="E312" s="156"/>
      <c r="F312" s="156"/>
      <c r="G312" s="156"/>
      <c r="H312" s="156"/>
      <c r="I312" s="156"/>
      <c r="J312" s="157"/>
    </row>
    <row r="313" spans="1:10" ht="12.75" customHeight="1">
      <c r="A313" s="158"/>
      <c r="B313" s="156"/>
      <c r="C313" s="156"/>
      <c r="D313" s="156"/>
      <c r="E313" s="156"/>
      <c r="F313" s="156"/>
      <c r="G313" s="156"/>
      <c r="H313" s="156"/>
      <c r="I313" s="156"/>
      <c r="J313" s="157"/>
    </row>
    <row r="314" spans="1:10" ht="12.75" customHeight="1">
      <c r="A314" s="158"/>
      <c r="B314" s="156"/>
      <c r="C314" s="156"/>
      <c r="D314" s="156"/>
      <c r="E314" s="156"/>
      <c r="F314" s="156"/>
      <c r="G314" s="156"/>
      <c r="H314" s="156"/>
      <c r="I314" s="156"/>
      <c r="J314" s="157"/>
    </row>
    <row r="315" spans="1:10" ht="12.75" customHeight="1">
      <c r="A315" s="158"/>
      <c r="B315" s="156"/>
      <c r="C315" s="156"/>
      <c r="D315" s="156"/>
      <c r="E315" s="156"/>
      <c r="F315" s="156"/>
      <c r="G315" s="156"/>
      <c r="H315" s="156"/>
      <c r="I315" s="156"/>
      <c r="J315" s="157"/>
    </row>
    <row r="316" spans="1:10" ht="12.75" customHeight="1">
      <c r="A316" s="158"/>
      <c r="B316" s="156"/>
      <c r="C316" s="156"/>
      <c r="D316" s="156"/>
      <c r="E316" s="156"/>
      <c r="F316" s="156"/>
      <c r="G316" s="156"/>
      <c r="H316" s="156"/>
      <c r="I316" s="156"/>
      <c r="J316" s="157"/>
    </row>
    <row r="317" spans="1:10" ht="12.75" customHeight="1">
      <c r="A317" s="158"/>
      <c r="B317" s="156"/>
      <c r="C317" s="156"/>
      <c r="D317" s="156"/>
      <c r="E317" s="156"/>
      <c r="F317" s="156"/>
      <c r="G317" s="156"/>
      <c r="H317" s="156"/>
      <c r="I317" s="156"/>
      <c r="J317" s="157"/>
    </row>
    <row r="318" spans="1:10" ht="12.75" customHeight="1">
      <c r="A318" s="158"/>
      <c r="B318" s="156"/>
      <c r="C318" s="156"/>
      <c r="D318" s="156"/>
      <c r="E318" s="156"/>
      <c r="F318" s="156"/>
      <c r="G318" s="156"/>
      <c r="H318" s="156"/>
      <c r="I318" s="156"/>
      <c r="J318" s="157"/>
    </row>
    <row r="319" spans="1:10" ht="12.75" customHeight="1">
      <c r="A319" s="158"/>
      <c r="B319" s="156"/>
      <c r="C319" s="156"/>
      <c r="D319" s="156"/>
      <c r="E319" s="156"/>
      <c r="F319" s="156"/>
      <c r="G319" s="156"/>
      <c r="H319" s="156"/>
      <c r="I319" s="156"/>
      <c r="J319" s="157"/>
    </row>
    <row r="320" spans="1:10" ht="12.75" customHeight="1">
      <c r="A320" s="158"/>
      <c r="B320" s="156"/>
      <c r="C320" s="156"/>
      <c r="D320" s="156"/>
      <c r="E320" s="156"/>
      <c r="F320" s="156"/>
      <c r="G320" s="156"/>
      <c r="H320" s="156"/>
      <c r="I320" s="156"/>
      <c r="J320" s="157"/>
    </row>
    <row r="321" spans="1:10" ht="12.75" customHeight="1">
      <c r="A321" s="158"/>
      <c r="B321" s="156"/>
      <c r="C321" s="156"/>
      <c r="D321" s="156"/>
      <c r="E321" s="156"/>
      <c r="F321" s="156"/>
      <c r="G321" s="156"/>
      <c r="H321" s="156"/>
      <c r="I321" s="156"/>
      <c r="J321" s="157"/>
    </row>
    <row r="322" spans="1:10" ht="12.75" customHeight="1">
      <c r="A322" s="158"/>
      <c r="B322" s="156"/>
      <c r="C322" s="156"/>
      <c r="D322" s="156"/>
      <c r="E322" s="156"/>
      <c r="F322" s="156"/>
      <c r="G322" s="156"/>
      <c r="H322" s="156"/>
      <c r="I322" s="156"/>
      <c r="J322" s="157"/>
    </row>
    <row r="323" spans="1:10" ht="12.75" customHeight="1">
      <c r="A323" s="158"/>
      <c r="B323" s="156"/>
      <c r="C323" s="156"/>
      <c r="D323" s="156"/>
      <c r="E323" s="156"/>
      <c r="F323" s="156"/>
      <c r="G323" s="156"/>
      <c r="H323" s="156"/>
      <c r="I323" s="156"/>
      <c r="J323" s="157"/>
    </row>
    <row r="324" spans="1:10" ht="12.75" customHeight="1">
      <c r="A324" s="158"/>
      <c r="B324" s="156"/>
      <c r="C324" s="156"/>
      <c r="D324" s="156"/>
      <c r="E324" s="156"/>
      <c r="F324" s="156"/>
      <c r="G324" s="156"/>
      <c r="H324" s="156"/>
      <c r="I324" s="156"/>
      <c r="J324" s="157"/>
    </row>
    <row r="325" spans="1:10" ht="12.75" customHeight="1">
      <c r="A325" s="158"/>
      <c r="B325" s="156"/>
      <c r="C325" s="156"/>
      <c r="D325" s="156"/>
      <c r="E325" s="156"/>
      <c r="F325" s="156"/>
      <c r="G325" s="156"/>
      <c r="H325" s="156"/>
      <c r="I325" s="156"/>
      <c r="J325" s="157"/>
    </row>
    <row r="326" spans="1:10" ht="12.75" customHeight="1">
      <c r="A326" s="158"/>
      <c r="B326" s="156"/>
      <c r="C326" s="156"/>
      <c r="D326" s="156"/>
      <c r="E326" s="156"/>
      <c r="F326" s="156"/>
      <c r="G326" s="156"/>
      <c r="H326" s="156"/>
      <c r="I326" s="156"/>
      <c r="J326" s="157"/>
    </row>
    <row r="327" spans="1:10" ht="12.75" customHeight="1">
      <c r="A327" s="158"/>
      <c r="B327" s="156"/>
      <c r="C327" s="156"/>
      <c r="D327" s="156"/>
      <c r="E327" s="156"/>
      <c r="F327" s="156"/>
      <c r="G327" s="156"/>
      <c r="H327" s="156"/>
      <c r="I327" s="156"/>
      <c r="J327" s="157"/>
    </row>
    <row r="328" spans="1:10" ht="12.75" customHeight="1">
      <c r="A328" s="199"/>
      <c r="B328" s="167"/>
      <c r="C328" s="167"/>
      <c r="D328" s="167"/>
      <c r="E328" s="167"/>
      <c r="F328" s="167"/>
      <c r="G328" s="167"/>
      <c r="H328" s="167"/>
      <c r="I328" s="167"/>
      <c r="J328" s="168"/>
    </row>
    <row r="329" spans="1:10" ht="12.75" customHeight="1">
      <c r="A329" s="103"/>
      <c r="B329" s="103"/>
      <c r="C329" s="103"/>
      <c r="D329" s="103"/>
      <c r="E329" s="103"/>
      <c r="F329" s="103"/>
      <c r="G329" s="103"/>
      <c r="H329" s="103"/>
      <c r="I329" s="103"/>
      <c r="J329" s="103"/>
    </row>
    <row r="330" spans="1:10" ht="12.75" customHeight="1">
      <c r="A330" s="207" t="s">
        <v>65</v>
      </c>
      <c r="B330" s="152"/>
      <c r="C330" s="152"/>
      <c r="D330" s="152"/>
      <c r="E330" s="152"/>
      <c r="F330" s="152"/>
      <c r="G330" s="181"/>
      <c r="H330" s="208" t="str">
        <f>'CONTACT INFORMATION'!$A$24</f>
        <v>Humboldt</v>
      </c>
      <c r="I330" s="152"/>
      <c r="J330" s="153"/>
    </row>
    <row r="331" spans="1:10" ht="12.75" customHeight="1">
      <c r="A331" s="66"/>
      <c r="B331" s="66"/>
      <c r="C331" s="66"/>
      <c r="D331" s="66"/>
      <c r="E331" s="66"/>
      <c r="F331" s="66"/>
      <c r="G331" s="66"/>
      <c r="H331" s="66"/>
      <c r="I331" s="66"/>
      <c r="J331" s="66"/>
    </row>
    <row r="332" spans="1:10" ht="12.75" customHeight="1">
      <c r="A332" s="251" t="s">
        <v>197</v>
      </c>
      <c r="B332" s="152"/>
      <c r="C332" s="152"/>
      <c r="D332" s="152"/>
      <c r="E332" s="152"/>
      <c r="F332" s="152"/>
      <c r="G332" s="152"/>
      <c r="H332" s="152"/>
      <c r="I332" s="152"/>
      <c r="J332" s="153"/>
    </row>
    <row r="333" spans="1:10" ht="12.75" customHeight="1">
      <c r="A333" s="252" t="s">
        <v>140</v>
      </c>
      <c r="B333" s="163"/>
      <c r="C333" s="163"/>
      <c r="D333" s="164"/>
      <c r="E333" s="269"/>
      <c r="F333" s="197"/>
      <c r="G333" s="197"/>
      <c r="H333" s="197"/>
      <c r="I333" s="197"/>
      <c r="J333" s="198"/>
    </row>
    <row r="334" spans="1:10" ht="12.75" customHeight="1">
      <c r="A334" s="254" t="s">
        <v>161</v>
      </c>
      <c r="B334" s="149"/>
      <c r="C334" s="149"/>
      <c r="D334" s="150"/>
      <c r="E334" s="199"/>
      <c r="F334" s="167"/>
      <c r="G334" s="167"/>
      <c r="H334" s="167"/>
      <c r="I334" s="167"/>
      <c r="J334" s="168"/>
    </row>
    <row r="335" spans="1:10" ht="12.75" customHeight="1">
      <c r="A335" s="259" t="s">
        <v>198</v>
      </c>
      <c r="B335" s="152"/>
      <c r="C335" s="152"/>
      <c r="D335" s="153"/>
      <c r="E335" s="221"/>
      <c r="F335" s="152"/>
      <c r="G335" s="152"/>
      <c r="H335" s="152"/>
      <c r="I335" s="152"/>
      <c r="J335" s="153"/>
    </row>
    <row r="336" spans="1:10" ht="12.75" customHeight="1">
      <c r="A336" s="53"/>
      <c r="B336" s="55"/>
      <c r="C336" s="55"/>
      <c r="D336" s="55"/>
      <c r="E336" s="278" t="s">
        <v>143</v>
      </c>
      <c r="F336" s="152"/>
      <c r="G336" s="278" t="s">
        <v>144</v>
      </c>
      <c r="H336" s="152"/>
      <c r="I336" s="279" t="s">
        <v>145</v>
      </c>
      <c r="J336" s="153"/>
    </row>
    <row r="337" spans="1:10" ht="12.75" customHeight="1">
      <c r="A337" s="220" t="s">
        <v>146</v>
      </c>
      <c r="B337" s="152"/>
      <c r="C337" s="152"/>
      <c r="D337" s="153"/>
      <c r="E337" s="239"/>
      <c r="F337" s="153"/>
      <c r="G337" s="239"/>
      <c r="H337" s="153"/>
      <c r="I337" s="240"/>
      <c r="J337" s="153"/>
    </row>
    <row r="338" spans="1:10" ht="12.75" customHeight="1">
      <c r="A338" s="241" t="s">
        <v>147</v>
      </c>
      <c r="B338" s="152"/>
      <c r="C338" s="152"/>
      <c r="D338" s="153"/>
      <c r="E338" s="264"/>
      <c r="F338" s="153"/>
      <c r="G338" s="257"/>
      <c r="H338" s="153"/>
      <c r="I338" s="258"/>
      <c r="J338" s="153"/>
    </row>
    <row r="339" spans="1:10" ht="12.75" customHeight="1">
      <c r="A339" s="220" t="s">
        <v>148</v>
      </c>
      <c r="B339" s="152"/>
      <c r="C339" s="152"/>
      <c r="D339" s="153"/>
      <c r="E339" s="239"/>
      <c r="F339" s="153"/>
      <c r="G339" s="239"/>
      <c r="H339" s="153"/>
      <c r="I339" s="240"/>
      <c r="J339" s="153"/>
    </row>
    <row r="340" spans="1:10" ht="12.75" customHeight="1">
      <c r="A340" s="241" t="s">
        <v>149</v>
      </c>
      <c r="B340" s="152"/>
      <c r="C340" s="152"/>
      <c r="D340" s="153"/>
      <c r="E340" s="264"/>
      <c r="F340" s="153"/>
      <c r="G340" s="257"/>
      <c r="H340" s="153"/>
      <c r="I340" s="258"/>
      <c r="J340" s="153"/>
    </row>
    <row r="341" spans="1:10" ht="12.75" customHeight="1">
      <c r="A341" s="220" t="s">
        <v>150</v>
      </c>
      <c r="B341" s="152"/>
      <c r="C341" s="152"/>
      <c r="D341" s="153"/>
      <c r="E341" s="239"/>
      <c r="F341" s="153"/>
      <c r="G341" s="239"/>
      <c r="H341" s="153"/>
      <c r="I341" s="240"/>
      <c r="J341" s="153"/>
    </row>
    <row r="342" spans="1:10" ht="12.75" customHeight="1">
      <c r="A342" s="241" t="s">
        <v>151</v>
      </c>
      <c r="B342" s="152"/>
      <c r="C342" s="152"/>
      <c r="D342" s="153"/>
      <c r="E342" s="264"/>
      <c r="F342" s="153"/>
      <c r="G342" s="257"/>
      <c r="H342" s="153"/>
      <c r="I342" s="258"/>
      <c r="J342" s="153"/>
    </row>
    <row r="343" spans="1:10" ht="12.75" customHeight="1">
      <c r="A343" s="220" t="s">
        <v>152</v>
      </c>
      <c r="B343" s="152"/>
      <c r="C343" s="152"/>
      <c r="D343" s="153"/>
      <c r="E343" s="262"/>
      <c r="F343" s="153"/>
      <c r="G343" s="262"/>
      <c r="H343" s="153"/>
      <c r="I343" s="263"/>
      <c r="J343" s="153"/>
    </row>
    <row r="344" spans="1:10" ht="12.75" customHeight="1">
      <c r="A344" s="265"/>
      <c r="B344" s="152"/>
      <c r="C344" s="152"/>
      <c r="D344" s="153"/>
      <c r="E344" s="264"/>
      <c r="F344" s="153"/>
      <c r="G344" s="257"/>
      <c r="H344" s="153"/>
      <c r="I344" s="257"/>
      <c r="J344" s="153"/>
    </row>
    <row r="345" spans="1:10" ht="12.75" customHeight="1">
      <c r="A345" s="265"/>
      <c r="B345" s="152"/>
      <c r="C345" s="152"/>
      <c r="D345" s="153"/>
      <c r="E345" s="264"/>
      <c r="F345" s="153"/>
      <c r="G345" s="257"/>
      <c r="H345" s="153"/>
      <c r="I345" s="257"/>
      <c r="J345" s="153"/>
    </row>
    <row r="346" spans="1:10" ht="12.75" customHeight="1">
      <c r="A346" s="265"/>
      <c r="B346" s="152"/>
      <c r="C346" s="152"/>
      <c r="D346" s="153"/>
      <c r="E346" s="264"/>
      <c r="F346" s="153"/>
      <c r="G346" s="257"/>
      <c r="H346" s="153"/>
      <c r="I346" s="257"/>
      <c r="J346" s="153"/>
    </row>
    <row r="347" spans="1:10" ht="12.75" customHeight="1">
      <c r="A347" s="222" t="s">
        <v>153</v>
      </c>
      <c r="B347" s="152"/>
      <c r="C347" s="152"/>
      <c r="D347" s="153"/>
      <c r="E347" s="266">
        <f>SUM(E337:E346)</f>
        <v>0</v>
      </c>
      <c r="F347" s="153"/>
      <c r="G347" s="266">
        <f>SUM(G337:G346)</f>
        <v>0</v>
      </c>
      <c r="H347" s="153"/>
      <c r="I347" s="266">
        <f>SUM(I337:I346)</f>
        <v>0</v>
      </c>
      <c r="J347" s="153"/>
    </row>
    <row r="348" spans="1:10" ht="12.75" customHeight="1">
      <c r="A348" s="267" t="s">
        <v>154</v>
      </c>
      <c r="B348" s="163"/>
      <c r="C348" s="163"/>
      <c r="D348" s="163"/>
      <c r="E348" s="163"/>
      <c r="F348" s="163"/>
      <c r="G348" s="163"/>
      <c r="H348" s="163"/>
      <c r="I348" s="163"/>
      <c r="J348" s="164"/>
    </row>
    <row r="349" spans="1:10" ht="12.75" customHeight="1">
      <c r="A349" s="268" t="s">
        <v>155</v>
      </c>
      <c r="B349" s="171"/>
      <c r="C349" s="171"/>
      <c r="D349" s="171"/>
      <c r="E349" s="171"/>
      <c r="F349" s="171"/>
      <c r="G349" s="171"/>
      <c r="H349" s="171"/>
      <c r="I349" s="171"/>
      <c r="J349" s="172"/>
    </row>
    <row r="350" spans="1:10" ht="12.75" customHeight="1">
      <c r="A350" s="268" t="s">
        <v>156</v>
      </c>
      <c r="B350" s="171"/>
      <c r="C350" s="171"/>
      <c r="D350" s="171"/>
      <c r="E350" s="171"/>
      <c r="F350" s="171"/>
      <c r="G350" s="171"/>
      <c r="H350" s="171"/>
      <c r="I350" s="171"/>
      <c r="J350" s="172"/>
    </row>
    <row r="351" spans="1:10" ht="12.75" customHeight="1">
      <c r="A351" s="260" t="s">
        <v>157</v>
      </c>
      <c r="B351" s="149"/>
      <c r="C351" s="149"/>
      <c r="D351" s="149"/>
      <c r="E351" s="149"/>
      <c r="F351" s="149"/>
      <c r="G351" s="149"/>
      <c r="H351" s="149"/>
      <c r="I351" s="149"/>
      <c r="J351" s="150"/>
    </row>
    <row r="352" spans="1:10" ht="12.75" customHeight="1">
      <c r="A352" s="261"/>
      <c r="B352" s="197"/>
      <c r="C352" s="197"/>
      <c r="D352" s="197"/>
      <c r="E352" s="197"/>
      <c r="F352" s="197"/>
      <c r="G352" s="197"/>
      <c r="H352" s="197"/>
      <c r="I352" s="197"/>
      <c r="J352" s="198"/>
    </row>
    <row r="353" spans="1:10" ht="12.75" customHeight="1">
      <c r="A353" s="158"/>
      <c r="B353" s="156"/>
      <c r="C353" s="156"/>
      <c r="D353" s="156"/>
      <c r="E353" s="156"/>
      <c r="F353" s="156"/>
      <c r="G353" s="156"/>
      <c r="H353" s="156"/>
      <c r="I353" s="156"/>
      <c r="J353" s="157"/>
    </row>
    <row r="354" spans="1:10" ht="12.75" customHeight="1">
      <c r="A354" s="158"/>
      <c r="B354" s="156"/>
      <c r="C354" s="156"/>
      <c r="D354" s="156"/>
      <c r="E354" s="156"/>
      <c r="F354" s="156"/>
      <c r="G354" s="156"/>
      <c r="H354" s="156"/>
      <c r="I354" s="156"/>
      <c r="J354" s="157"/>
    </row>
    <row r="355" spans="1:10" ht="12.75" customHeight="1">
      <c r="A355" s="158"/>
      <c r="B355" s="156"/>
      <c r="C355" s="156"/>
      <c r="D355" s="156"/>
      <c r="E355" s="156"/>
      <c r="F355" s="156"/>
      <c r="G355" s="156"/>
      <c r="H355" s="156"/>
      <c r="I355" s="156"/>
      <c r="J355" s="157"/>
    </row>
    <row r="356" spans="1:10" ht="12.75" customHeight="1">
      <c r="A356" s="158"/>
      <c r="B356" s="156"/>
      <c r="C356" s="156"/>
      <c r="D356" s="156"/>
      <c r="E356" s="156"/>
      <c r="F356" s="156"/>
      <c r="G356" s="156"/>
      <c r="H356" s="156"/>
      <c r="I356" s="156"/>
      <c r="J356" s="157"/>
    </row>
    <row r="357" spans="1:10" ht="12.75" customHeight="1">
      <c r="A357" s="158"/>
      <c r="B357" s="156"/>
      <c r="C357" s="156"/>
      <c r="D357" s="156"/>
      <c r="E357" s="156"/>
      <c r="F357" s="156"/>
      <c r="G357" s="156"/>
      <c r="H357" s="156"/>
      <c r="I357" s="156"/>
      <c r="J357" s="157"/>
    </row>
    <row r="358" spans="1:10" ht="12.75" customHeight="1">
      <c r="A358" s="158"/>
      <c r="B358" s="156"/>
      <c r="C358" s="156"/>
      <c r="D358" s="156"/>
      <c r="E358" s="156"/>
      <c r="F358" s="156"/>
      <c r="G358" s="156"/>
      <c r="H358" s="156"/>
      <c r="I358" s="156"/>
      <c r="J358" s="157"/>
    </row>
    <row r="359" spans="1:10" ht="12.75" customHeight="1">
      <c r="A359" s="158"/>
      <c r="B359" s="156"/>
      <c r="C359" s="156"/>
      <c r="D359" s="156"/>
      <c r="E359" s="156"/>
      <c r="F359" s="156"/>
      <c r="G359" s="156"/>
      <c r="H359" s="156"/>
      <c r="I359" s="156"/>
      <c r="J359" s="157"/>
    </row>
    <row r="360" spans="1:10" ht="12.75" customHeight="1">
      <c r="A360" s="158"/>
      <c r="B360" s="156"/>
      <c r="C360" s="156"/>
      <c r="D360" s="156"/>
      <c r="E360" s="156"/>
      <c r="F360" s="156"/>
      <c r="G360" s="156"/>
      <c r="H360" s="156"/>
      <c r="I360" s="156"/>
      <c r="J360" s="157"/>
    </row>
    <row r="361" spans="1:10" ht="12.75" customHeight="1">
      <c r="A361" s="158"/>
      <c r="B361" s="156"/>
      <c r="C361" s="156"/>
      <c r="D361" s="156"/>
      <c r="E361" s="156"/>
      <c r="F361" s="156"/>
      <c r="G361" s="156"/>
      <c r="H361" s="156"/>
      <c r="I361" s="156"/>
      <c r="J361" s="157"/>
    </row>
    <row r="362" spans="1:10" ht="12.75" customHeight="1">
      <c r="A362" s="158"/>
      <c r="B362" s="156"/>
      <c r="C362" s="156"/>
      <c r="D362" s="156"/>
      <c r="E362" s="156"/>
      <c r="F362" s="156"/>
      <c r="G362" s="156"/>
      <c r="H362" s="156"/>
      <c r="I362" s="156"/>
      <c r="J362" s="157"/>
    </row>
    <row r="363" spans="1:10" ht="12.75" customHeight="1">
      <c r="A363" s="158"/>
      <c r="B363" s="156"/>
      <c r="C363" s="156"/>
      <c r="D363" s="156"/>
      <c r="E363" s="156"/>
      <c r="F363" s="156"/>
      <c r="G363" s="156"/>
      <c r="H363" s="156"/>
      <c r="I363" s="156"/>
      <c r="J363" s="157"/>
    </row>
    <row r="364" spans="1:10" ht="12.75" customHeight="1">
      <c r="A364" s="158"/>
      <c r="B364" s="156"/>
      <c r="C364" s="156"/>
      <c r="D364" s="156"/>
      <c r="E364" s="156"/>
      <c r="F364" s="156"/>
      <c r="G364" s="156"/>
      <c r="H364" s="156"/>
      <c r="I364" s="156"/>
      <c r="J364" s="157"/>
    </row>
    <row r="365" spans="1:10" ht="12.75" customHeight="1">
      <c r="A365" s="158"/>
      <c r="B365" s="156"/>
      <c r="C365" s="156"/>
      <c r="D365" s="156"/>
      <c r="E365" s="156"/>
      <c r="F365" s="156"/>
      <c r="G365" s="156"/>
      <c r="H365" s="156"/>
      <c r="I365" s="156"/>
      <c r="J365" s="157"/>
    </row>
    <row r="366" spans="1:10" ht="12.75" customHeight="1">
      <c r="A366" s="158"/>
      <c r="B366" s="156"/>
      <c r="C366" s="156"/>
      <c r="D366" s="156"/>
      <c r="E366" s="156"/>
      <c r="F366" s="156"/>
      <c r="G366" s="156"/>
      <c r="H366" s="156"/>
      <c r="I366" s="156"/>
      <c r="J366" s="157"/>
    </row>
    <row r="367" spans="1:10" ht="12.75" customHeight="1">
      <c r="A367" s="158"/>
      <c r="B367" s="156"/>
      <c r="C367" s="156"/>
      <c r="D367" s="156"/>
      <c r="E367" s="156"/>
      <c r="F367" s="156"/>
      <c r="G367" s="156"/>
      <c r="H367" s="156"/>
      <c r="I367" s="156"/>
      <c r="J367" s="157"/>
    </row>
    <row r="368" spans="1:10" ht="12.75" customHeight="1">
      <c r="A368" s="158"/>
      <c r="B368" s="156"/>
      <c r="C368" s="156"/>
      <c r="D368" s="156"/>
      <c r="E368" s="156"/>
      <c r="F368" s="156"/>
      <c r="G368" s="156"/>
      <c r="H368" s="156"/>
      <c r="I368" s="156"/>
      <c r="J368" s="157"/>
    </row>
    <row r="369" spans="1:10" ht="12.75" customHeight="1">
      <c r="A369" s="158"/>
      <c r="B369" s="156"/>
      <c r="C369" s="156"/>
      <c r="D369" s="156"/>
      <c r="E369" s="156"/>
      <c r="F369" s="156"/>
      <c r="G369" s="156"/>
      <c r="H369" s="156"/>
      <c r="I369" s="156"/>
      <c r="J369" s="157"/>
    </row>
    <row r="370" spans="1:10" ht="12.75" customHeight="1">
      <c r="A370" s="158"/>
      <c r="B370" s="156"/>
      <c r="C370" s="156"/>
      <c r="D370" s="156"/>
      <c r="E370" s="156"/>
      <c r="F370" s="156"/>
      <c r="G370" s="156"/>
      <c r="H370" s="156"/>
      <c r="I370" s="156"/>
      <c r="J370" s="157"/>
    </row>
    <row r="371" spans="1:10" ht="12.75" customHeight="1">
      <c r="A371" s="158"/>
      <c r="B371" s="156"/>
      <c r="C371" s="156"/>
      <c r="D371" s="156"/>
      <c r="E371" s="156"/>
      <c r="F371" s="156"/>
      <c r="G371" s="156"/>
      <c r="H371" s="156"/>
      <c r="I371" s="156"/>
      <c r="J371" s="157"/>
    </row>
    <row r="372" spans="1:10" ht="12.75" customHeight="1">
      <c r="A372" s="158"/>
      <c r="B372" s="156"/>
      <c r="C372" s="156"/>
      <c r="D372" s="156"/>
      <c r="E372" s="156"/>
      <c r="F372" s="156"/>
      <c r="G372" s="156"/>
      <c r="H372" s="156"/>
      <c r="I372" s="156"/>
      <c r="J372" s="157"/>
    </row>
    <row r="373" spans="1:10" ht="12.75" customHeight="1">
      <c r="A373" s="158"/>
      <c r="B373" s="156"/>
      <c r="C373" s="156"/>
      <c r="D373" s="156"/>
      <c r="E373" s="156"/>
      <c r="F373" s="156"/>
      <c r="G373" s="156"/>
      <c r="H373" s="156"/>
      <c r="I373" s="156"/>
      <c r="J373" s="157"/>
    </row>
    <row r="374" spans="1:10" ht="12.75" customHeight="1">
      <c r="A374" s="158"/>
      <c r="B374" s="156"/>
      <c r="C374" s="156"/>
      <c r="D374" s="156"/>
      <c r="E374" s="156"/>
      <c r="F374" s="156"/>
      <c r="G374" s="156"/>
      <c r="H374" s="156"/>
      <c r="I374" s="156"/>
      <c r="J374" s="157"/>
    </row>
    <row r="375" spans="1:10" ht="12.75" customHeight="1">
      <c r="A375" s="158"/>
      <c r="B375" s="156"/>
      <c r="C375" s="156"/>
      <c r="D375" s="156"/>
      <c r="E375" s="156"/>
      <c r="F375" s="156"/>
      <c r="G375" s="156"/>
      <c r="H375" s="156"/>
      <c r="I375" s="156"/>
      <c r="J375" s="157"/>
    </row>
    <row r="376" spans="1:10" ht="12.75" customHeight="1">
      <c r="A376" s="158"/>
      <c r="B376" s="156"/>
      <c r="C376" s="156"/>
      <c r="D376" s="156"/>
      <c r="E376" s="156"/>
      <c r="F376" s="156"/>
      <c r="G376" s="156"/>
      <c r="H376" s="156"/>
      <c r="I376" s="156"/>
      <c r="J376" s="157"/>
    </row>
    <row r="377" spans="1:10" ht="12.75" customHeight="1">
      <c r="A377" s="158"/>
      <c r="B377" s="156"/>
      <c r="C377" s="156"/>
      <c r="D377" s="156"/>
      <c r="E377" s="156"/>
      <c r="F377" s="156"/>
      <c r="G377" s="156"/>
      <c r="H377" s="156"/>
      <c r="I377" s="156"/>
      <c r="J377" s="157"/>
    </row>
    <row r="378" spans="1:10" ht="12.75" customHeight="1">
      <c r="A378" s="158"/>
      <c r="B378" s="156"/>
      <c r="C378" s="156"/>
      <c r="D378" s="156"/>
      <c r="E378" s="156"/>
      <c r="F378" s="156"/>
      <c r="G378" s="156"/>
      <c r="H378" s="156"/>
      <c r="I378" s="156"/>
      <c r="J378" s="157"/>
    </row>
    <row r="379" spans="1:10" ht="12.75" customHeight="1">
      <c r="A379" s="158"/>
      <c r="B379" s="156"/>
      <c r="C379" s="156"/>
      <c r="D379" s="156"/>
      <c r="E379" s="156"/>
      <c r="F379" s="156"/>
      <c r="G379" s="156"/>
      <c r="H379" s="156"/>
      <c r="I379" s="156"/>
      <c r="J379" s="157"/>
    </row>
    <row r="380" spans="1:10" ht="12.75" customHeight="1">
      <c r="A380" s="158"/>
      <c r="B380" s="156"/>
      <c r="C380" s="156"/>
      <c r="D380" s="156"/>
      <c r="E380" s="156"/>
      <c r="F380" s="156"/>
      <c r="G380" s="156"/>
      <c r="H380" s="156"/>
      <c r="I380" s="156"/>
      <c r="J380" s="157"/>
    </row>
    <row r="381" spans="1:10" ht="12.75" customHeight="1">
      <c r="A381" s="158"/>
      <c r="B381" s="156"/>
      <c r="C381" s="156"/>
      <c r="D381" s="156"/>
      <c r="E381" s="156"/>
      <c r="F381" s="156"/>
      <c r="G381" s="156"/>
      <c r="H381" s="156"/>
      <c r="I381" s="156"/>
      <c r="J381" s="157"/>
    </row>
    <row r="382" spans="1:10" ht="12.75" customHeight="1">
      <c r="A382" s="199"/>
      <c r="B382" s="167"/>
      <c r="C382" s="167"/>
      <c r="D382" s="167"/>
      <c r="E382" s="167"/>
      <c r="F382" s="167"/>
      <c r="G382" s="167"/>
      <c r="H382" s="167"/>
      <c r="I382" s="167"/>
      <c r="J382" s="168"/>
    </row>
    <row r="383" spans="1:10" ht="12.75" customHeight="1">
      <c r="A383" s="100"/>
      <c r="B383" s="100"/>
      <c r="C383" s="100"/>
      <c r="D383" s="100"/>
      <c r="E383" s="100"/>
      <c r="F383" s="100"/>
      <c r="G383" s="100"/>
      <c r="H383" s="100"/>
      <c r="I383" s="100"/>
      <c r="J383" s="100"/>
    </row>
    <row r="384" spans="1:10" ht="12.75" customHeight="1">
      <c r="A384" s="207" t="s">
        <v>65</v>
      </c>
      <c r="B384" s="152"/>
      <c r="C384" s="152"/>
      <c r="D384" s="152"/>
      <c r="E384" s="152"/>
      <c r="F384" s="152"/>
      <c r="G384" s="181"/>
      <c r="H384" s="208" t="str">
        <f>'CONTACT INFORMATION'!$A$24</f>
        <v>Humboldt</v>
      </c>
      <c r="I384" s="152"/>
      <c r="J384" s="153"/>
    </row>
    <row r="385" spans="1:10" ht="12.75" customHeight="1">
      <c r="A385" s="66"/>
      <c r="B385" s="66"/>
      <c r="C385" s="66"/>
      <c r="D385" s="66"/>
      <c r="E385" s="66"/>
      <c r="F385" s="66"/>
      <c r="G385" s="66"/>
      <c r="H385" s="66"/>
      <c r="I385" s="66"/>
      <c r="J385" s="66"/>
    </row>
    <row r="386" spans="1:10" ht="12.75" customHeight="1">
      <c r="A386" s="251" t="s">
        <v>199</v>
      </c>
      <c r="B386" s="152"/>
      <c r="C386" s="152"/>
      <c r="D386" s="152"/>
      <c r="E386" s="152"/>
      <c r="F386" s="152"/>
      <c r="G386" s="152"/>
      <c r="H386" s="152"/>
      <c r="I386" s="152"/>
      <c r="J386" s="153"/>
    </row>
    <row r="387" spans="1:10" ht="12.75" customHeight="1">
      <c r="A387" s="252" t="s">
        <v>140</v>
      </c>
      <c r="B387" s="163"/>
      <c r="C387" s="163"/>
      <c r="D387" s="164"/>
      <c r="E387" s="269"/>
      <c r="F387" s="197"/>
      <c r="G387" s="197"/>
      <c r="H387" s="197"/>
      <c r="I387" s="197"/>
      <c r="J387" s="198"/>
    </row>
    <row r="388" spans="1:10" ht="12.75" customHeight="1">
      <c r="A388" s="254" t="s">
        <v>161</v>
      </c>
      <c r="B388" s="149"/>
      <c r="C388" s="149"/>
      <c r="D388" s="150"/>
      <c r="E388" s="199"/>
      <c r="F388" s="167"/>
      <c r="G388" s="167"/>
      <c r="H388" s="167"/>
      <c r="I388" s="167"/>
      <c r="J388" s="168"/>
    </row>
    <row r="389" spans="1:10" ht="12.75" customHeight="1">
      <c r="A389" s="259" t="s">
        <v>200</v>
      </c>
      <c r="B389" s="152"/>
      <c r="C389" s="152"/>
      <c r="D389" s="153"/>
      <c r="E389" s="221"/>
      <c r="F389" s="152"/>
      <c r="G389" s="152"/>
      <c r="H389" s="152"/>
      <c r="I389" s="152"/>
      <c r="J389" s="153"/>
    </row>
    <row r="390" spans="1:10" ht="12.75" customHeight="1">
      <c r="A390" s="53"/>
      <c r="B390" s="55"/>
      <c r="C390" s="55"/>
      <c r="D390" s="55"/>
      <c r="E390" s="278" t="s">
        <v>143</v>
      </c>
      <c r="F390" s="152"/>
      <c r="G390" s="278" t="s">
        <v>144</v>
      </c>
      <c r="H390" s="152"/>
      <c r="I390" s="279" t="s">
        <v>145</v>
      </c>
      <c r="J390" s="153"/>
    </row>
    <row r="391" spans="1:10" ht="12.75" customHeight="1">
      <c r="A391" s="220" t="s">
        <v>146</v>
      </c>
      <c r="B391" s="152"/>
      <c r="C391" s="152"/>
      <c r="D391" s="153"/>
      <c r="E391" s="239"/>
      <c r="F391" s="153"/>
      <c r="G391" s="239"/>
      <c r="H391" s="153"/>
      <c r="I391" s="240"/>
      <c r="J391" s="153"/>
    </row>
    <row r="392" spans="1:10" ht="12.75" customHeight="1">
      <c r="A392" s="241" t="s">
        <v>147</v>
      </c>
      <c r="B392" s="152"/>
      <c r="C392" s="152"/>
      <c r="D392" s="153"/>
      <c r="E392" s="264"/>
      <c r="F392" s="153"/>
      <c r="G392" s="257"/>
      <c r="H392" s="153"/>
      <c r="I392" s="258"/>
      <c r="J392" s="153"/>
    </row>
    <row r="393" spans="1:10" ht="12.75" customHeight="1">
      <c r="A393" s="220" t="s">
        <v>148</v>
      </c>
      <c r="B393" s="152"/>
      <c r="C393" s="152"/>
      <c r="D393" s="153"/>
      <c r="E393" s="239"/>
      <c r="F393" s="153"/>
      <c r="G393" s="239"/>
      <c r="H393" s="153"/>
      <c r="I393" s="240"/>
      <c r="J393" s="153"/>
    </row>
    <row r="394" spans="1:10" ht="12.75" customHeight="1">
      <c r="A394" s="241" t="s">
        <v>149</v>
      </c>
      <c r="B394" s="152"/>
      <c r="C394" s="152"/>
      <c r="D394" s="153"/>
      <c r="E394" s="264"/>
      <c r="F394" s="153"/>
      <c r="G394" s="257"/>
      <c r="H394" s="153"/>
      <c r="I394" s="258"/>
      <c r="J394" s="153"/>
    </row>
    <row r="395" spans="1:10" ht="12.75" customHeight="1">
      <c r="A395" s="220" t="s">
        <v>150</v>
      </c>
      <c r="B395" s="152"/>
      <c r="C395" s="152"/>
      <c r="D395" s="153"/>
      <c r="E395" s="239"/>
      <c r="F395" s="153"/>
      <c r="G395" s="239"/>
      <c r="H395" s="153"/>
      <c r="I395" s="240"/>
      <c r="J395" s="153"/>
    </row>
    <row r="396" spans="1:10" ht="12.75" customHeight="1">
      <c r="A396" s="241" t="s">
        <v>151</v>
      </c>
      <c r="B396" s="152"/>
      <c r="C396" s="152"/>
      <c r="D396" s="153"/>
      <c r="E396" s="264"/>
      <c r="F396" s="153"/>
      <c r="G396" s="257"/>
      <c r="H396" s="153"/>
      <c r="I396" s="258"/>
      <c r="J396" s="153"/>
    </row>
    <row r="397" spans="1:10" ht="12.75" customHeight="1">
      <c r="A397" s="220" t="s">
        <v>152</v>
      </c>
      <c r="B397" s="152"/>
      <c r="C397" s="152"/>
      <c r="D397" s="153"/>
      <c r="E397" s="262"/>
      <c r="F397" s="153"/>
      <c r="G397" s="262"/>
      <c r="H397" s="153"/>
      <c r="I397" s="263"/>
      <c r="J397" s="153"/>
    </row>
    <row r="398" spans="1:10" ht="12.75" customHeight="1">
      <c r="A398" s="265"/>
      <c r="B398" s="152"/>
      <c r="C398" s="152"/>
      <c r="D398" s="153"/>
      <c r="E398" s="264"/>
      <c r="F398" s="153"/>
      <c r="G398" s="257"/>
      <c r="H398" s="153"/>
      <c r="I398" s="257"/>
      <c r="J398" s="153"/>
    </row>
    <row r="399" spans="1:10" ht="12.75" customHeight="1">
      <c r="A399" s="265"/>
      <c r="B399" s="152"/>
      <c r="C399" s="152"/>
      <c r="D399" s="153"/>
      <c r="E399" s="264"/>
      <c r="F399" s="153"/>
      <c r="G399" s="257"/>
      <c r="H399" s="153"/>
      <c r="I399" s="257"/>
      <c r="J399" s="153"/>
    </row>
    <row r="400" spans="1:10" ht="12.75" customHeight="1">
      <c r="A400" s="265"/>
      <c r="B400" s="152"/>
      <c r="C400" s="152"/>
      <c r="D400" s="153"/>
      <c r="E400" s="264"/>
      <c r="F400" s="153"/>
      <c r="G400" s="257"/>
      <c r="H400" s="153"/>
      <c r="I400" s="257"/>
      <c r="J400" s="153"/>
    </row>
    <row r="401" spans="1:10" ht="12.75" customHeight="1">
      <c r="A401" s="222" t="s">
        <v>153</v>
      </c>
      <c r="B401" s="152"/>
      <c r="C401" s="152"/>
      <c r="D401" s="153"/>
      <c r="E401" s="266">
        <f>SUM(E391:E400)</f>
        <v>0</v>
      </c>
      <c r="F401" s="153"/>
      <c r="G401" s="266">
        <f>SUM(G391:G400)</f>
        <v>0</v>
      </c>
      <c r="H401" s="153"/>
      <c r="I401" s="266">
        <f>SUM(I391:I400)</f>
        <v>0</v>
      </c>
      <c r="J401" s="153"/>
    </row>
    <row r="402" spans="1:10" ht="12.75" customHeight="1">
      <c r="A402" s="267" t="s">
        <v>154</v>
      </c>
      <c r="B402" s="163"/>
      <c r="C402" s="163"/>
      <c r="D402" s="163"/>
      <c r="E402" s="163"/>
      <c r="F402" s="163"/>
      <c r="G402" s="163"/>
      <c r="H402" s="163"/>
      <c r="I402" s="163"/>
      <c r="J402" s="164"/>
    </row>
    <row r="403" spans="1:10" ht="12.75" customHeight="1">
      <c r="A403" s="268" t="s">
        <v>155</v>
      </c>
      <c r="B403" s="171"/>
      <c r="C403" s="171"/>
      <c r="D403" s="171"/>
      <c r="E403" s="171"/>
      <c r="F403" s="171"/>
      <c r="G403" s="171"/>
      <c r="H403" s="171"/>
      <c r="I403" s="171"/>
      <c r="J403" s="172"/>
    </row>
    <row r="404" spans="1:10" ht="12.75" customHeight="1">
      <c r="A404" s="268" t="s">
        <v>156</v>
      </c>
      <c r="B404" s="171"/>
      <c r="C404" s="171"/>
      <c r="D404" s="171"/>
      <c r="E404" s="171"/>
      <c r="F404" s="171"/>
      <c r="G404" s="171"/>
      <c r="H404" s="171"/>
      <c r="I404" s="171"/>
      <c r="J404" s="172"/>
    </row>
    <row r="405" spans="1:10" ht="12.75" customHeight="1">
      <c r="A405" s="260" t="s">
        <v>157</v>
      </c>
      <c r="B405" s="149"/>
      <c r="C405" s="149"/>
      <c r="D405" s="149"/>
      <c r="E405" s="149"/>
      <c r="F405" s="149"/>
      <c r="G405" s="149"/>
      <c r="H405" s="149"/>
      <c r="I405" s="149"/>
      <c r="J405" s="150"/>
    </row>
    <row r="406" spans="1:10" ht="12.75" customHeight="1">
      <c r="A406" s="261"/>
      <c r="B406" s="197"/>
      <c r="C406" s="197"/>
      <c r="D406" s="197"/>
      <c r="E406" s="197"/>
      <c r="F406" s="197"/>
      <c r="G406" s="197"/>
      <c r="H406" s="197"/>
      <c r="I406" s="197"/>
      <c r="J406" s="198"/>
    </row>
    <row r="407" spans="1:10" ht="12.75" customHeight="1">
      <c r="A407" s="158"/>
      <c r="B407" s="156"/>
      <c r="C407" s="156"/>
      <c r="D407" s="156"/>
      <c r="E407" s="156"/>
      <c r="F407" s="156"/>
      <c r="G407" s="156"/>
      <c r="H407" s="156"/>
      <c r="I407" s="156"/>
      <c r="J407" s="157"/>
    </row>
    <row r="408" spans="1:10" ht="12.75" customHeight="1">
      <c r="A408" s="158"/>
      <c r="B408" s="156"/>
      <c r="C408" s="156"/>
      <c r="D408" s="156"/>
      <c r="E408" s="156"/>
      <c r="F408" s="156"/>
      <c r="G408" s="156"/>
      <c r="H408" s="156"/>
      <c r="I408" s="156"/>
      <c r="J408" s="157"/>
    </row>
    <row r="409" spans="1:10" ht="12.75" customHeight="1">
      <c r="A409" s="158"/>
      <c r="B409" s="156"/>
      <c r="C409" s="156"/>
      <c r="D409" s="156"/>
      <c r="E409" s="156"/>
      <c r="F409" s="156"/>
      <c r="G409" s="156"/>
      <c r="H409" s="156"/>
      <c r="I409" s="156"/>
      <c r="J409" s="157"/>
    </row>
    <row r="410" spans="1:10" ht="12.75" customHeight="1">
      <c r="A410" s="158"/>
      <c r="B410" s="156"/>
      <c r="C410" s="156"/>
      <c r="D410" s="156"/>
      <c r="E410" s="156"/>
      <c r="F410" s="156"/>
      <c r="G410" s="156"/>
      <c r="H410" s="156"/>
      <c r="I410" s="156"/>
      <c r="J410" s="157"/>
    </row>
    <row r="411" spans="1:10" ht="12.75" customHeight="1">
      <c r="A411" s="158"/>
      <c r="B411" s="156"/>
      <c r="C411" s="156"/>
      <c r="D411" s="156"/>
      <c r="E411" s="156"/>
      <c r="F411" s="156"/>
      <c r="G411" s="156"/>
      <c r="H411" s="156"/>
      <c r="I411" s="156"/>
      <c r="J411" s="157"/>
    </row>
    <row r="412" spans="1:10" ht="12.75" customHeight="1">
      <c r="A412" s="158"/>
      <c r="B412" s="156"/>
      <c r="C412" s="156"/>
      <c r="D412" s="156"/>
      <c r="E412" s="156"/>
      <c r="F412" s="156"/>
      <c r="G412" s="156"/>
      <c r="H412" s="156"/>
      <c r="I412" s="156"/>
      <c r="J412" s="157"/>
    </row>
    <row r="413" spans="1:10" ht="12.75" customHeight="1">
      <c r="A413" s="158"/>
      <c r="B413" s="156"/>
      <c r="C413" s="156"/>
      <c r="D413" s="156"/>
      <c r="E413" s="156"/>
      <c r="F413" s="156"/>
      <c r="G413" s="156"/>
      <c r="H413" s="156"/>
      <c r="I413" s="156"/>
      <c r="J413" s="157"/>
    </row>
    <row r="414" spans="1:10" ht="12.75" customHeight="1">
      <c r="A414" s="158"/>
      <c r="B414" s="156"/>
      <c r="C414" s="156"/>
      <c r="D414" s="156"/>
      <c r="E414" s="156"/>
      <c r="F414" s="156"/>
      <c r="G414" s="156"/>
      <c r="H414" s="156"/>
      <c r="I414" s="156"/>
      <c r="J414" s="157"/>
    </row>
    <row r="415" spans="1:10" ht="12.75" customHeight="1">
      <c r="A415" s="158"/>
      <c r="B415" s="156"/>
      <c r="C415" s="156"/>
      <c r="D415" s="156"/>
      <c r="E415" s="156"/>
      <c r="F415" s="156"/>
      <c r="G415" s="156"/>
      <c r="H415" s="156"/>
      <c r="I415" s="156"/>
      <c r="J415" s="157"/>
    </row>
    <row r="416" spans="1:10" ht="12.75" customHeight="1">
      <c r="A416" s="158"/>
      <c r="B416" s="156"/>
      <c r="C416" s="156"/>
      <c r="D416" s="156"/>
      <c r="E416" s="156"/>
      <c r="F416" s="156"/>
      <c r="G416" s="156"/>
      <c r="H416" s="156"/>
      <c r="I416" s="156"/>
      <c r="J416" s="157"/>
    </row>
    <row r="417" spans="1:10" ht="12.75" customHeight="1">
      <c r="A417" s="158"/>
      <c r="B417" s="156"/>
      <c r="C417" s="156"/>
      <c r="D417" s="156"/>
      <c r="E417" s="156"/>
      <c r="F417" s="156"/>
      <c r="G417" s="156"/>
      <c r="H417" s="156"/>
      <c r="I417" s="156"/>
      <c r="J417" s="157"/>
    </row>
    <row r="418" spans="1:10" ht="12.75" customHeight="1">
      <c r="A418" s="158"/>
      <c r="B418" s="156"/>
      <c r="C418" s="156"/>
      <c r="D418" s="156"/>
      <c r="E418" s="156"/>
      <c r="F418" s="156"/>
      <c r="G418" s="156"/>
      <c r="H418" s="156"/>
      <c r="I418" s="156"/>
      <c r="J418" s="157"/>
    </row>
    <row r="419" spans="1:10" ht="12.75" customHeight="1">
      <c r="A419" s="158"/>
      <c r="B419" s="156"/>
      <c r="C419" s="156"/>
      <c r="D419" s="156"/>
      <c r="E419" s="156"/>
      <c r="F419" s="156"/>
      <c r="G419" s="156"/>
      <c r="H419" s="156"/>
      <c r="I419" s="156"/>
      <c r="J419" s="157"/>
    </row>
    <row r="420" spans="1:10" ht="12.75" customHeight="1">
      <c r="A420" s="158"/>
      <c r="B420" s="156"/>
      <c r="C420" s="156"/>
      <c r="D420" s="156"/>
      <c r="E420" s="156"/>
      <c r="F420" s="156"/>
      <c r="G420" s="156"/>
      <c r="H420" s="156"/>
      <c r="I420" s="156"/>
      <c r="J420" s="157"/>
    </row>
    <row r="421" spans="1:10" ht="12.75" customHeight="1">
      <c r="A421" s="158"/>
      <c r="B421" s="156"/>
      <c r="C421" s="156"/>
      <c r="D421" s="156"/>
      <c r="E421" s="156"/>
      <c r="F421" s="156"/>
      <c r="G421" s="156"/>
      <c r="H421" s="156"/>
      <c r="I421" s="156"/>
      <c r="J421" s="157"/>
    </row>
    <row r="422" spans="1:10" ht="12.75" customHeight="1">
      <c r="A422" s="158"/>
      <c r="B422" s="156"/>
      <c r="C422" s="156"/>
      <c r="D422" s="156"/>
      <c r="E422" s="156"/>
      <c r="F422" s="156"/>
      <c r="G422" s="156"/>
      <c r="H422" s="156"/>
      <c r="I422" s="156"/>
      <c r="J422" s="157"/>
    </row>
    <row r="423" spans="1:10" ht="12.75" customHeight="1">
      <c r="A423" s="158"/>
      <c r="B423" s="156"/>
      <c r="C423" s="156"/>
      <c r="D423" s="156"/>
      <c r="E423" s="156"/>
      <c r="F423" s="156"/>
      <c r="G423" s="156"/>
      <c r="H423" s="156"/>
      <c r="I423" s="156"/>
      <c r="J423" s="157"/>
    </row>
    <row r="424" spans="1:10" ht="12.75" customHeight="1">
      <c r="A424" s="158"/>
      <c r="B424" s="156"/>
      <c r="C424" s="156"/>
      <c r="D424" s="156"/>
      <c r="E424" s="156"/>
      <c r="F424" s="156"/>
      <c r="G424" s="156"/>
      <c r="H424" s="156"/>
      <c r="I424" s="156"/>
      <c r="J424" s="157"/>
    </row>
    <row r="425" spans="1:10" ht="12.75" customHeight="1">
      <c r="A425" s="158"/>
      <c r="B425" s="156"/>
      <c r="C425" s="156"/>
      <c r="D425" s="156"/>
      <c r="E425" s="156"/>
      <c r="F425" s="156"/>
      <c r="G425" s="156"/>
      <c r="H425" s="156"/>
      <c r="I425" s="156"/>
      <c r="J425" s="157"/>
    </row>
    <row r="426" spans="1:10" ht="12.75" customHeight="1">
      <c r="A426" s="158"/>
      <c r="B426" s="156"/>
      <c r="C426" s="156"/>
      <c r="D426" s="156"/>
      <c r="E426" s="156"/>
      <c r="F426" s="156"/>
      <c r="G426" s="156"/>
      <c r="H426" s="156"/>
      <c r="I426" s="156"/>
      <c r="J426" s="157"/>
    </row>
    <row r="427" spans="1:10" ht="12.75" customHeight="1">
      <c r="A427" s="158"/>
      <c r="B427" s="156"/>
      <c r="C427" s="156"/>
      <c r="D427" s="156"/>
      <c r="E427" s="156"/>
      <c r="F427" s="156"/>
      <c r="G427" s="156"/>
      <c r="H427" s="156"/>
      <c r="I427" s="156"/>
      <c r="J427" s="157"/>
    </row>
    <row r="428" spans="1:10" ht="12.75" customHeight="1">
      <c r="A428" s="158"/>
      <c r="B428" s="156"/>
      <c r="C428" s="156"/>
      <c r="D428" s="156"/>
      <c r="E428" s="156"/>
      <c r="F428" s="156"/>
      <c r="G428" s="156"/>
      <c r="H428" s="156"/>
      <c r="I428" s="156"/>
      <c r="J428" s="157"/>
    </row>
    <row r="429" spans="1:10" ht="12.75" customHeight="1">
      <c r="A429" s="158"/>
      <c r="B429" s="156"/>
      <c r="C429" s="156"/>
      <c r="D429" s="156"/>
      <c r="E429" s="156"/>
      <c r="F429" s="156"/>
      <c r="G429" s="156"/>
      <c r="H429" s="156"/>
      <c r="I429" s="156"/>
      <c r="J429" s="157"/>
    </row>
    <row r="430" spans="1:10" ht="12.75" customHeight="1">
      <c r="A430" s="158"/>
      <c r="B430" s="156"/>
      <c r="C430" s="156"/>
      <c r="D430" s="156"/>
      <c r="E430" s="156"/>
      <c r="F430" s="156"/>
      <c r="G430" s="156"/>
      <c r="H430" s="156"/>
      <c r="I430" s="156"/>
      <c r="J430" s="157"/>
    </row>
    <row r="431" spans="1:10" ht="12.75" customHeight="1">
      <c r="A431" s="158"/>
      <c r="B431" s="156"/>
      <c r="C431" s="156"/>
      <c r="D431" s="156"/>
      <c r="E431" s="156"/>
      <c r="F431" s="156"/>
      <c r="G431" s="156"/>
      <c r="H431" s="156"/>
      <c r="I431" s="156"/>
      <c r="J431" s="157"/>
    </row>
    <row r="432" spans="1:10" ht="12.75" customHeight="1">
      <c r="A432" s="158"/>
      <c r="B432" s="156"/>
      <c r="C432" s="156"/>
      <c r="D432" s="156"/>
      <c r="E432" s="156"/>
      <c r="F432" s="156"/>
      <c r="G432" s="156"/>
      <c r="H432" s="156"/>
      <c r="I432" s="156"/>
      <c r="J432" s="157"/>
    </row>
    <row r="433" spans="1:10" ht="12.75" customHeight="1">
      <c r="A433" s="158"/>
      <c r="B433" s="156"/>
      <c r="C433" s="156"/>
      <c r="D433" s="156"/>
      <c r="E433" s="156"/>
      <c r="F433" s="156"/>
      <c r="G433" s="156"/>
      <c r="H433" s="156"/>
      <c r="I433" s="156"/>
      <c r="J433" s="157"/>
    </row>
    <row r="434" spans="1:10" ht="12.75" customHeight="1">
      <c r="A434" s="158"/>
      <c r="B434" s="156"/>
      <c r="C434" s="156"/>
      <c r="D434" s="156"/>
      <c r="E434" s="156"/>
      <c r="F434" s="156"/>
      <c r="G434" s="156"/>
      <c r="H434" s="156"/>
      <c r="I434" s="156"/>
      <c r="J434" s="157"/>
    </row>
    <row r="435" spans="1:10" ht="12.75" customHeight="1">
      <c r="A435" s="158"/>
      <c r="B435" s="156"/>
      <c r="C435" s="156"/>
      <c r="D435" s="156"/>
      <c r="E435" s="156"/>
      <c r="F435" s="156"/>
      <c r="G435" s="156"/>
      <c r="H435" s="156"/>
      <c r="I435" s="156"/>
      <c r="J435" s="157"/>
    </row>
    <row r="436" spans="1:10" ht="12.75" customHeight="1">
      <c r="A436" s="199"/>
      <c r="B436" s="167"/>
      <c r="C436" s="167"/>
      <c r="D436" s="167"/>
      <c r="E436" s="167"/>
      <c r="F436" s="167"/>
      <c r="G436" s="167"/>
      <c r="H436" s="167"/>
      <c r="I436" s="167"/>
      <c r="J436" s="168"/>
    </row>
    <row r="437" spans="1:10" ht="12.75" customHeight="1">
      <c r="A437" s="105"/>
      <c r="B437" s="105"/>
      <c r="C437" s="105"/>
      <c r="D437" s="105"/>
      <c r="E437" s="105"/>
      <c r="F437" s="105"/>
      <c r="G437" s="105"/>
      <c r="H437" s="105"/>
      <c r="I437" s="105"/>
      <c r="J437" s="105"/>
    </row>
    <row r="438" spans="1:10" ht="12.75" customHeight="1">
      <c r="A438" s="207" t="s">
        <v>65</v>
      </c>
      <c r="B438" s="152"/>
      <c r="C438" s="152"/>
      <c r="D438" s="152"/>
      <c r="E438" s="152"/>
      <c r="F438" s="152"/>
      <c r="G438" s="181"/>
      <c r="H438" s="208" t="str">
        <f>'CONTACT INFORMATION'!$A$24</f>
        <v>Humboldt</v>
      </c>
      <c r="I438" s="152"/>
      <c r="J438" s="153"/>
    </row>
    <row r="439" spans="1:10" ht="12.75" customHeight="1">
      <c r="A439" s="66"/>
      <c r="B439" s="66"/>
      <c r="C439" s="66"/>
      <c r="D439" s="66"/>
      <c r="E439" s="66"/>
      <c r="F439" s="66"/>
      <c r="G439" s="66"/>
      <c r="H439" s="66"/>
      <c r="I439" s="66"/>
      <c r="J439" s="66"/>
    </row>
    <row r="440" spans="1:10" ht="12.75" customHeight="1">
      <c r="A440" s="251" t="s">
        <v>201</v>
      </c>
      <c r="B440" s="152"/>
      <c r="C440" s="152"/>
      <c r="D440" s="152"/>
      <c r="E440" s="152"/>
      <c r="F440" s="152"/>
      <c r="G440" s="152"/>
      <c r="H440" s="152"/>
      <c r="I440" s="152"/>
      <c r="J440" s="153"/>
    </row>
    <row r="441" spans="1:10" ht="12.75" customHeight="1">
      <c r="A441" s="252" t="s">
        <v>140</v>
      </c>
      <c r="B441" s="163"/>
      <c r="C441" s="163"/>
      <c r="D441" s="164"/>
      <c r="E441" s="269"/>
      <c r="F441" s="197"/>
      <c r="G441" s="197"/>
      <c r="H441" s="197"/>
      <c r="I441" s="197"/>
      <c r="J441" s="198"/>
    </row>
    <row r="442" spans="1:10" ht="12.75" customHeight="1">
      <c r="A442" s="254" t="s">
        <v>161</v>
      </c>
      <c r="B442" s="149"/>
      <c r="C442" s="149"/>
      <c r="D442" s="150"/>
      <c r="E442" s="199"/>
      <c r="F442" s="167"/>
      <c r="G442" s="167"/>
      <c r="H442" s="167"/>
      <c r="I442" s="167"/>
      <c r="J442" s="168"/>
    </row>
    <row r="443" spans="1:10" ht="12.75" customHeight="1">
      <c r="A443" s="259" t="s">
        <v>202</v>
      </c>
      <c r="B443" s="152"/>
      <c r="C443" s="152"/>
      <c r="D443" s="153"/>
      <c r="E443" s="221"/>
      <c r="F443" s="152"/>
      <c r="G443" s="152"/>
      <c r="H443" s="152"/>
      <c r="I443" s="152"/>
      <c r="J443" s="153"/>
    </row>
    <row r="444" spans="1:10" ht="12.75" customHeight="1">
      <c r="A444" s="53"/>
      <c r="B444" s="55"/>
      <c r="C444" s="55"/>
      <c r="D444" s="55"/>
      <c r="E444" s="278" t="s">
        <v>143</v>
      </c>
      <c r="F444" s="152"/>
      <c r="G444" s="278" t="s">
        <v>144</v>
      </c>
      <c r="H444" s="152"/>
      <c r="I444" s="279" t="s">
        <v>145</v>
      </c>
      <c r="J444" s="153"/>
    </row>
    <row r="445" spans="1:10" ht="12.75" customHeight="1">
      <c r="A445" s="220" t="s">
        <v>146</v>
      </c>
      <c r="B445" s="152"/>
      <c r="C445" s="152"/>
      <c r="D445" s="153"/>
      <c r="E445" s="239"/>
      <c r="F445" s="153"/>
      <c r="G445" s="239"/>
      <c r="H445" s="153"/>
      <c r="I445" s="240"/>
      <c r="J445" s="153"/>
    </row>
    <row r="446" spans="1:10" ht="12.75" customHeight="1">
      <c r="A446" s="241" t="s">
        <v>147</v>
      </c>
      <c r="B446" s="152"/>
      <c r="C446" s="152"/>
      <c r="D446" s="153"/>
      <c r="E446" s="264"/>
      <c r="F446" s="153"/>
      <c r="G446" s="257"/>
      <c r="H446" s="153"/>
      <c r="I446" s="258"/>
      <c r="J446" s="153"/>
    </row>
    <row r="447" spans="1:10" ht="12.75" customHeight="1">
      <c r="A447" s="220" t="s">
        <v>148</v>
      </c>
      <c r="B447" s="152"/>
      <c r="C447" s="152"/>
      <c r="D447" s="153"/>
      <c r="E447" s="239"/>
      <c r="F447" s="153"/>
      <c r="G447" s="239"/>
      <c r="H447" s="153"/>
      <c r="I447" s="240"/>
      <c r="J447" s="153"/>
    </row>
    <row r="448" spans="1:10" ht="12.75" customHeight="1">
      <c r="A448" s="241" t="s">
        <v>149</v>
      </c>
      <c r="B448" s="152"/>
      <c r="C448" s="152"/>
      <c r="D448" s="153"/>
      <c r="E448" s="264"/>
      <c r="F448" s="153"/>
      <c r="G448" s="257"/>
      <c r="H448" s="153"/>
      <c r="I448" s="258"/>
      <c r="J448" s="153"/>
    </row>
    <row r="449" spans="1:10" ht="12.75" customHeight="1">
      <c r="A449" s="220" t="s">
        <v>150</v>
      </c>
      <c r="B449" s="152"/>
      <c r="C449" s="152"/>
      <c r="D449" s="153"/>
      <c r="E449" s="239"/>
      <c r="F449" s="153"/>
      <c r="G449" s="239"/>
      <c r="H449" s="153"/>
      <c r="I449" s="240"/>
      <c r="J449" s="153"/>
    </row>
    <row r="450" spans="1:10" ht="12.75" customHeight="1">
      <c r="A450" s="241" t="s">
        <v>151</v>
      </c>
      <c r="B450" s="152"/>
      <c r="C450" s="152"/>
      <c r="D450" s="153"/>
      <c r="E450" s="264"/>
      <c r="F450" s="153"/>
      <c r="G450" s="257"/>
      <c r="H450" s="153"/>
      <c r="I450" s="258"/>
      <c r="J450" s="153"/>
    </row>
    <row r="451" spans="1:10" ht="12.75" customHeight="1">
      <c r="A451" s="220" t="s">
        <v>152</v>
      </c>
      <c r="B451" s="152"/>
      <c r="C451" s="152"/>
      <c r="D451" s="153"/>
      <c r="E451" s="262"/>
      <c r="F451" s="153"/>
      <c r="G451" s="262"/>
      <c r="H451" s="153"/>
      <c r="I451" s="263"/>
      <c r="J451" s="153"/>
    </row>
    <row r="452" spans="1:10" ht="12.75" customHeight="1">
      <c r="A452" s="265"/>
      <c r="B452" s="152"/>
      <c r="C452" s="152"/>
      <c r="D452" s="153"/>
      <c r="E452" s="264"/>
      <c r="F452" s="153"/>
      <c r="G452" s="257"/>
      <c r="H452" s="153"/>
      <c r="I452" s="257"/>
      <c r="J452" s="153"/>
    </row>
    <row r="453" spans="1:10" ht="12.75" customHeight="1">
      <c r="A453" s="265"/>
      <c r="B453" s="152"/>
      <c r="C453" s="152"/>
      <c r="D453" s="153"/>
      <c r="E453" s="264"/>
      <c r="F453" s="153"/>
      <c r="G453" s="257"/>
      <c r="H453" s="153"/>
      <c r="I453" s="257"/>
      <c r="J453" s="153"/>
    </row>
    <row r="454" spans="1:10" ht="12.75" customHeight="1">
      <c r="A454" s="265"/>
      <c r="B454" s="152"/>
      <c r="C454" s="152"/>
      <c r="D454" s="153"/>
      <c r="E454" s="264"/>
      <c r="F454" s="153"/>
      <c r="G454" s="257"/>
      <c r="H454" s="153"/>
      <c r="I454" s="257"/>
      <c r="J454" s="153"/>
    </row>
    <row r="455" spans="1:10" ht="12.75" customHeight="1">
      <c r="A455" s="222" t="s">
        <v>153</v>
      </c>
      <c r="B455" s="152"/>
      <c r="C455" s="152"/>
      <c r="D455" s="153"/>
      <c r="E455" s="266">
        <f>SUM(E445:E454)</f>
        <v>0</v>
      </c>
      <c r="F455" s="153"/>
      <c r="G455" s="266">
        <f>SUM(G445:G454)</f>
        <v>0</v>
      </c>
      <c r="H455" s="153"/>
      <c r="I455" s="266">
        <f>SUM(I445:I454)</f>
        <v>0</v>
      </c>
      <c r="J455" s="153"/>
    </row>
    <row r="456" spans="1:10" ht="12.75" customHeight="1">
      <c r="A456" s="267" t="s">
        <v>154</v>
      </c>
      <c r="B456" s="163"/>
      <c r="C456" s="163"/>
      <c r="D456" s="163"/>
      <c r="E456" s="163"/>
      <c r="F456" s="163"/>
      <c r="G456" s="163"/>
      <c r="H456" s="163"/>
      <c r="I456" s="163"/>
      <c r="J456" s="164"/>
    </row>
    <row r="457" spans="1:10" ht="12.75" customHeight="1">
      <c r="A457" s="268" t="s">
        <v>155</v>
      </c>
      <c r="B457" s="171"/>
      <c r="C457" s="171"/>
      <c r="D457" s="171"/>
      <c r="E457" s="171"/>
      <c r="F457" s="171"/>
      <c r="G457" s="171"/>
      <c r="H457" s="171"/>
      <c r="I457" s="171"/>
      <c r="J457" s="172"/>
    </row>
    <row r="458" spans="1:10" ht="12.75" customHeight="1">
      <c r="A458" s="268" t="s">
        <v>156</v>
      </c>
      <c r="B458" s="171"/>
      <c r="C458" s="171"/>
      <c r="D458" s="171"/>
      <c r="E458" s="171"/>
      <c r="F458" s="171"/>
      <c r="G458" s="171"/>
      <c r="H458" s="171"/>
      <c r="I458" s="171"/>
      <c r="J458" s="172"/>
    </row>
    <row r="459" spans="1:10" ht="12.75" customHeight="1">
      <c r="A459" s="260" t="s">
        <v>157</v>
      </c>
      <c r="B459" s="149"/>
      <c r="C459" s="149"/>
      <c r="D459" s="149"/>
      <c r="E459" s="149"/>
      <c r="F459" s="149"/>
      <c r="G459" s="149"/>
      <c r="H459" s="149"/>
      <c r="I459" s="149"/>
      <c r="J459" s="150"/>
    </row>
    <row r="460" spans="1:10" ht="12.75" customHeight="1">
      <c r="A460" s="261"/>
      <c r="B460" s="197"/>
      <c r="C460" s="197"/>
      <c r="D460" s="197"/>
      <c r="E460" s="197"/>
      <c r="F460" s="197"/>
      <c r="G460" s="197"/>
      <c r="H460" s="197"/>
      <c r="I460" s="197"/>
      <c r="J460" s="198"/>
    </row>
    <row r="461" spans="1:10" ht="12.75" customHeight="1">
      <c r="A461" s="158"/>
      <c r="B461" s="156"/>
      <c r="C461" s="156"/>
      <c r="D461" s="156"/>
      <c r="E461" s="156"/>
      <c r="F461" s="156"/>
      <c r="G461" s="156"/>
      <c r="H461" s="156"/>
      <c r="I461" s="156"/>
      <c r="J461" s="157"/>
    </row>
    <row r="462" spans="1:10" ht="12.75" customHeight="1">
      <c r="A462" s="158"/>
      <c r="B462" s="156"/>
      <c r="C462" s="156"/>
      <c r="D462" s="156"/>
      <c r="E462" s="156"/>
      <c r="F462" s="156"/>
      <c r="G462" s="156"/>
      <c r="H462" s="156"/>
      <c r="I462" s="156"/>
      <c r="J462" s="157"/>
    </row>
    <row r="463" spans="1:10" ht="12.75" customHeight="1">
      <c r="A463" s="158"/>
      <c r="B463" s="156"/>
      <c r="C463" s="156"/>
      <c r="D463" s="156"/>
      <c r="E463" s="156"/>
      <c r="F463" s="156"/>
      <c r="G463" s="156"/>
      <c r="H463" s="156"/>
      <c r="I463" s="156"/>
      <c r="J463" s="157"/>
    </row>
    <row r="464" spans="1:10" ht="12.75" customHeight="1">
      <c r="A464" s="158"/>
      <c r="B464" s="156"/>
      <c r="C464" s="156"/>
      <c r="D464" s="156"/>
      <c r="E464" s="156"/>
      <c r="F464" s="156"/>
      <c r="G464" s="156"/>
      <c r="H464" s="156"/>
      <c r="I464" s="156"/>
      <c r="J464" s="157"/>
    </row>
    <row r="465" spans="1:10" ht="12.75" customHeight="1">
      <c r="A465" s="158"/>
      <c r="B465" s="156"/>
      <c r="C465" s="156"/>
      <c r="D465" s="156"/>
      <c r="E465" s="156"/>
      <c r="F465" s="156"/>
      <c r="G465" s="156"/>
      <c r="H465" s="156"/>
      <c r="I465" s="156"/>
      <c r="J465" s="157"/>
    </row>
    <row r="466" spans="1:10" ht="12.75" customHeight="1">
      <c r="A466" s="158"/>
      <c r="B466" s="156"/>
      <c r="C466" s="156"/>
      <c r="D466" s="156"/>
      <c r="E466" s="156"/>
      <c r="F466" s="156"/>
      <c r="G466" s="156"/>
      <c r="H466" s="156"/>
      <c r="I466" s="156"/>
      <c r="J466" s="157"/>
    </row>
    <row r="467" spans="1:10" ht="12.75" customHeight="1">
      <c r="A467" s="158"/>
      <c r="B467" s="156"/>
      <c r="C467" s="156"/>
      <c r="D467" s="156"/>
      <c r="E467" s="156"/>
      <c r="F467" s="156"/>
      <c r="G467" s="156"/>
      <c r="H467" s="156"/>
      <c r="I467" s="156"/>
      <c r="J467" s="157"/>
    </row>
    <row r="468" spans="1:10" ht="12.75" customHeight="1">
      <c r="A468" s="158"/>
      <c r="B468" s="156"/>
      <c r="C468" s="156"/>
      <c r="D468" s="156"/>
      <c r="E468" s="156"/>
      <c r="F468" s="156"/>
      <c r="G468" s="156"/>
      <c r="H468" s="156"/>
      <c r="I468" s="156"/>
      <c r="J468" s="157"/>
    </row>
    <row r="469" spans="1:10" ht="12.75" customHeight="1">
      <c r="A469" s="158"/>
      <c r="B469" s="156"/>
      <c r="C469" s="156"/>
      <c r="D469" s="156"/>
      <c r="E469" s="156"/>
      <c r="F469" s="156"/>
      <c r="G469" s="156"/>
      <c r="H469" s="156"/>
      <c r="I469" s="156"/>
      <c r="J469" s="157"/>
    </row>
    <row r="470" spans="1:10" ht="12.75" customHeight="1">
      <c r="A470" s="158"/>
      <c r="B470" s="156"/>
      <c r="C470" s="156"/>
      <c r="D470" s="156"/>
      <c r="E470" s="156"/>
      <c r="F470" s="156"/>
      <c r="G470" s="156"/>
      <c r="H470" s="156"/>
      <c r="I470" s="156"/>
      <c r="J470" s="157"/>
    </row>
    <row r="471" spans="1:10" ht="12.75" customHeight="1">
      <c r="A471" s="158"/>
      <c r="B471" s="156"/>
      <c r="C471" s="156"/>
      <c r="D471" s="156"/>
      <c r="E471" s="156"/>
      <c r="F471" s="156"/>
      <c r="G471" s="156"/>
      <c r="H471" s="156"/>
      <c r="I471" s="156"/>
      <c r="J471" s="157"/>
    </row>
    <row r="472" spans="1:10" ht="12.75" customHeight="1">
      <c r="A472" s="158"/>
      <c r="B472" s="156"/>
      <c r="C472" s="156"/>
      <c r="D472" s="156"/>
      <c r="E472" s="156"/>
      <c r="F472" s="156"/>
      <c r="G472" s="156"/>
      <c r="H472" s="156"/>
      <c r="I472" s="156"/>
      <c r="J472" s="157"/>
    </row>
    <row r="473" spans="1:10" ht="12.75" customHeight="1">
      <c r="A473" s="158"/>
      <c r="B473" s="156"/>
      <c r="C473" s="156"/>
      <c r="D473" s="156"/>
      <c r="E473" s="156"/>
      <c r="F473" s="156"/>
      <c r="G473" s="156"/>
      <c r="H473" s="156"/>
      <c r="I473" s="156"/>
      <c r="J473" s="157"/>
    </row>
    <row r="474" spans="1:10" ht="12.75" customHeight="1">
      <c r="A474" s="158"/>
      <c r="B474" s="156"/>
      <c r="C474" s="156"/>
      <c r="D474" s="156"/>
      <c r="E474" s="156"/>
      <c r="F474" s="156"/>
      <c r="G474" s="156"/>
      <c r="H474" s="156"/>
      <c r="I474" s="156"/>
      <c r="J474" s="157"/>
    </row>
    <row r="475" spans="1:10" ht="12.75" customHeight="1">
      <c r="A475" s="158"/>
      <c r="B475" s="156"/>
      <c r="C475" s="156"/>
      <c r="D475" s="156"/>
      <c r="E475" s="156"/>
      <c r="F475" s="156"/>
      <c r="G475" s="156"/>
      <c r="H475" s="156"/>
      <c r="I475" s="156"/>
      <c r="J475" s="157"/>
    </row>
    <row r="476" spans="1:10" ht="12.75" customHeight="1">
      <c r="A476" s="158"/>
      <c r="B476" s="156"/>
      <c r="C476" s="156"/>
      <c r="D476" s="156"/>
      <c r="E476" s="156"/>
      <c r="F476" s="156"/>
      <c r="G476" s="156"/>
      <c r="H476" s="156"/>
      <c r="I476" s="156"/>
      <c r="J476" s="157"/>
    </row>
    <row r="477" spans="1:10" ht="12.75" customHeight="1">
      <c r="A477" s="158"/>
      <c r="B477" s="156"/>
      <c r="C477" s="156"/>
      <c r="D477" s="156"/>
      <c r="E477" s="156"/>
      <c r="F477" s="156"/>
      <c r="G477" s="156"/>
      <c r="H477" s="156"/>
      <c r="I477" s="156"/>
      <c r="J477" s="157"/>
    </row>
    <row r="478" spans="1:10" ht="12.75" customHeight="1">
      <c r="A478" s="158"/>
      <c r="B478" s="156"/>
      <c r="C478" s="156"/>
      <c r="D478" s="156"/>
      <c r="E478" s="156"/>
      <c r="F478" s="156"/>
      <c r="G478" s="156"/>
      <c r="H478" s="156"/>
      <c r="I478" s="156"/>
      <c r="J478" s="157"/>
    </row>
    <row r="479" spans="1:10" ht="12.75" customHeight="1">
      <c r="A479" s="158"/>
      <c r="B479" s="156"/>
      <c r="C479" s="156"/>
      <c r="D479" s="156"/>
      <c r="E479" s="156"/>
      <c r="F479" s="156"/>
      <c r="G479" s="156"/>
      <c r="H479" s="156"/>
      <c r="I479" s="156"/>
      <c r="J479" s="157"/>
    </row>
    <row r="480" spans="1:10" ht="12.75" customHeight="1">
      <c r="A480" s="158"/>
      <c r="B480" s="156"/>
      <c r="C480" s="156"/>
      <c r="D480" s="156"/>
      <c r="E480" s="156"/>
      <c r="F480" s="156"/>
      <c r="G480" s="156"/>
      <c r="H480" s="156"/>
      <c r="I480" s="156"/>
      <c r="J480" s="157"/>
    </row>
    <row r="481" spans="1:10" ht="12.75" customHeight="1">
      <c r="A481" s="158"/>
      <c r="B481" s="156"/>
      <c r="C481" s="156"/>
      <c r="D481" s="156"/>
      <c r="E481" s="156"/>
      <c r="F481" s="156"/>
      <c r="G481" s="156"/>
      <c r="H481" s="156"/>
      <c r="I481" s="156"/>
      <c r="J481" s="157"/>
    </row>
    <row r="482" spans="1:10" ht="12.75" customHeight="1">
      <c r="A482" s="158"/>
      <c r="B482" s="156"/>
      <c r="C482" s="156"/>
      <c r="D482" s="156"/>
      <c r="E482" s="156"/>
      <c r="F482" s="156"/>
      <c r="G482" s="156"/>
      <c r="H482" s="156"/>
      <c r="I482" s="156"/>
      <c r="J482" s="157"/>
    </row>
    <row r="483" spans="1:10" ht="12.75" customHeight="1">
      <c r="A483" s="158"/>
      <c r="B483" s="156"/>
      <c r="C483" s="156"/>
      <c r="D483" s="156"/>
      <c r="E483" s="156"/>
      <c r="F483" s="156"/>
      <c r="G483" s="156"/>
      <c r="H483" s="156"/>
      <c r="I483" s="156"/>
      <c r="J483" s="157"/>
    </row>
    <row r="484" spans="1:10" ht="12.75" customHeight="1">
      <c r="A484" s="158"/>
      <c r="B484" s="156"/>
      <c r="C484" s="156"/>
      <c r="D484" s="156"/>
      <c r="E484" s="156"/>
      <c r="F484" s="156"/>
      <c r="G484" s="156"/>
      <c r="H484" s="156"/>
      <c r="I484" s="156"/>
      <c r="J484" s="157"/>
    </row>
    <row r="485" spans="1:10" ht="12.75" customHeight="1">
      <c r="A485" s="158"/>
      <c r="B485" s="156"/>
      <c r="C485" s="156"/>
      <c r="D485" s="156"/>
      <c r="E485" s="156"/>
      <c r="F485" s="156"/>
      <c r="G485" s="156"/>
      <c r="H485" s="156"/>
      <c r="I485" s="156"/>
      <c r="J485" s="157"/>
    </row>
    <row r="486" spans="1:10" ht="12.75" customHeight="1">
      <c r="A486" s="158"/>
      <c r="B486" s="156"/>
      <c r="C486" s="156"/>
      <c r="D486" s="156"/>
      <c r="E486" s="156"/>
      <c r="F486" s="156"/>
      <c r="G486" s="156"/>
      <c r="H486" s="156"/>
      <c r="I486" s="156"/>
      <c r="J486" s="157"/>
    </row>
    <row r="487" spans="1:10" ht="12.75" customHeight="1">
      <c r="A487" s="158"/>
      <c r="B487" s="156"/>
      <c r="C487" s="156"/>
      <c r="D487" s="156"/>
      <c r="E487" s="156"/>
      <c r="F487" s="156"/>
      <c r="G487" s="156"/>
      <c r="H487" s="156"/>
      <c r="I487" s="156"/>
      <c r="J487" s="157"/>
    </row>
    <row r="488" spans="1:10" ht="12.75" customHeight="1">
      <c r="A488" s="158"/>
      <c r="B488" s="156"/>
      <c r="C488" s="156"/>
      <c r="D488" s="156"/>
      <c r="E488" s="156"/>
      <c r="F488" s="156"/>
      <c r="G488" s="156"/>
      <c r="H488" s="156"/>
      <c r="I488" s="156"/>
      <c r="J488" s="157"/>
    </row>
    <row r="489" spans="1:10" ht="12.75" customHeight="1">
      <c r="A489" s="158"/>
      <c r="B489" s="156"/>
      <c r="C489" s="156"/>
      <c r="D489" s="156"/>
      <c r="E489" s="156"/>
      <c r="F489" s="156"/>
      <c r="G489" s="156"/>
      <c r="H489" s="156"/>
      <c r="I489" s="156"/>
      <c r="J489" s="157"/>
    </row>
    <row r="490" spans="1:10" ht="12.75" customHeight="1">
      <c r="A490" s="199"/>
      <c r="B490" s="167"/>
      <c r="C490" s="167"/>
      <c r="D490" s="167"/>
      <c r="E490" s="167"/>
      <c r="F490" s="167"/>
      <c r="G490" s="167"/>
      <c r="H490" s="167"/>
      <c r="I490" s="167"/>
      <c r="J490" s="168"/>
    </row>
    <row r="491" spans="1:10" ht="12.75" customHeight="1">
      <c r="A491" s="105"/>
      <c r="B491" s="105"/>
      <c r="C491" s="105"/>
      <c r="D491" s="105"/>
      <c r="E491" s="105"/>
      <c r="F491" s="105"/>
      <c r="G491" s="105"/>
      <c r="H491" s="105"/>
      <c r="I491" s="105"/>
      <c r="J491" s="105"/>
    </row>
    <row r="492" spans="1:10" ht="12.75" customHeight="1">
      <c r="A492" s="207" t="s">
        <v>65</v>
      </c>
      <c r="B492" s="152"/>
      <c r="C492" s="152"/>
      <c r="D492" s="152"/>
      <c r="E492" s="152"/>
      <c r="F492" s="152"/>
      <c r="G492" s="181"/>
      <c r="H492" s="208" t="str">
        <f>'CONTACT INFORMATION'!$A$24</f>
        <v>Humboldt</v>
      </c>
      <c r="I492" s="152"/>
      <c r="J492" s="153"/>
    </row>
    <row r="493" spans="1:10" ht="12.75" customHeight="1">
      <c r="A493" s="66"/>
      <c r="B493" s="66"/>
      <c r="C493" s="66"/>
      <c r="D493" s="66"/>
      <c r="E493" s="66"/>
      <c r="F493" s="66"/>
      <c r="G493" s="66"/>
      <c r="H493" s="66"/>
      <c r="I493" s="66"/>
      <c r="J493" s="66"/>
    </row>
    <row r="494" spans="1:10" ht="12.75" customHeight="1">
      <c r="A494" s="251" t="s">
        <v>203</v>
      </c>
      <c r="B494" s="152"/>
      <c r="C494" s="152"/>
      <c r="D494" s="152"/>
      <c r="E494" s="152"/>
      <c r="F494" s="152"/>
      <c r="G494" s="152"/>
      <c r="H494" s="152"/>
      <c r="I494" s="152"/>
      <c r="J494" s="153"/>
    </row>
    <row r="495" spans="1:10" ht="12.75" customHeight="1">
      <c r="A495" s="252" t="s">
        <v>140</v>
      </c>
      <c r="B495" s="163"/>
      <c r="C495" s="163"/>
      <c r="D495" s="164"/>
      <c r="E495" s="269"/>
      <c r="F495" s="197"/>
      <c r="G495" s="197"/>
      <c r="H495" s="197"/>
      <c r="I495" s="197"/>
      <c r="J495" s="198"/>
    </row>
    <row r="496" spans="1:10" ht="12.75" customHeight="1">
      <c r="A496" s="254" t="s">
        <v>161</v>
      </c>
      <c r="B496" s="149"/>
      <c r="C496" s="149"/>
      <c r="D496" s="150"/>
      <c r="E496" s="199"/>
      <c r="F496" s="167"/>
      <c r="G496" s="167"/>
      <c r="H496" s="167"/>
      <c r="I496" s="167"/>
      <c r="J496" s="168"/>
    </row>
    <row r="497" spans="1:10" ht="12.75" customHeight="1">
      <c r="A497" s="259" t="s">
        <v>204</v>
      </c>
      <c r="B497" s="152"/>
      <c r="C497" s="152"/>
      <c r="D497" s="153"/>
      <c r="E497" s="221"/>
      <c r="F497" s="152"/>
      <c r="G497" s="152"/>
      <c r="H497" s="152"/>
      <c r="I497" s="152"/>
      <c r="J497" s="153"/>
    </row>
    <row r="498" spans="1:10" ht="12.75" customHeight="1">
      <c r="A498" s="53"/>
      <c r="B498" s="55"/>
      <c r="C498" s="55"/>
      <c r="D498" s="55"/>
      <c r="E498" s="278" t="s">
        <v>143</v>
      </c>
      <c r="F498" s="152"/>
      <c r="G498" s="278" t="s">
        <v>144</v>
      </c>
      <c r="H498" s="152"/>
      <c r="I498" s="279" t="s">
        <v>145</v>
      </c>
      <c r="J498" s="153"/>
    </row>
    <row r="499" spans="1:10" ht="12.75" customHeight="1">
      <c r="A499" s="220" t="s">
        <v>146</v>
      </c>
      <c r="B499" s="152"/>
      <c r="C499" s="152"/>
      <c r="D499" s="153"/>
      <c r="E499" s="239"/>
      <c r="F499" s="153"/>
      <c r="G499" s="239"/>
      <c r="H499" s="153"/>
      <c r="I499" s="240"/>
      <c r="J499" s="153"/>
    </row>
    <row r="500" spans="1:10" ht="12.75" customHeight="1">
      <c r="A500" s="241" t="s">
        <v>147</v>
      </c>
      <c r="B500" s="152"/>
      <c r="C500" s="152"/>
      <c r="D500" s="153"/>
      <c r="E500" s="264"/>
      <c r="F500" s="153"/>
      <c r="G500" s="257"/>
      <c r="H500" s="153"/>
      <c r="I500" s="258"/>
      <c r="J500" s="153"/>
    </row>
    <row r="501" spans="1:10" ht="12.75" customHeight="1">
      <c r="A501" s="220" t="s">
        <v>148</v>
      </c>
      <c r="B501" s="152"/>
      <c r="C501" s="152"/>
      <c r="D501" s="153"/>
      <c r="E501" s="239"/>
      <c r="F501" s="153"/>
      <c r="G501" s="239"/>
      <c r="H501" s="153"/>
      <c r="I501" s="240"/>
      <c r="J501" s="153"/>
    </row>
    <row r="502" spans="1:10" ht="12.75" customHeight="1">
      <c r="A502" s="241" t="s">
        <v>149</v>
      </c>
      <c r="B502" s="152"/>
      <c r="C502" s="152"/>
      <c r="D502" s="153"/>
      <c r="E502" s="264"/>
      <c r="F502" s="153"/>
      <c r="G502" s="257"/>
      <c r="H502" s="153"/>
      <c r="I502" s="258"/>
      <c r="J502" s="153"/>
    </row>
    <row r="503" spans="1:10" ht="12.75" customHeight="1">
      <c r="A503" s="220" t="s">
        <v>150</v>
      </c>
      <c r="B503" s="152"/>
      <c r="C503" s="152"/>
      <c r="D503" s="153"/>
      <c r="E503" s="239"/>
      <c r="F503" s="153"/>
      <c r="G503" s="239"/>
      <c r="H503" s="153"/>
      <c r="I503" s="240"/>
      <c r="J503" s="153"/>
    </row>
    <row r="504" spans="1:10" ht="12.75" customHeight="1">
      <c r="A504" s="241" t="s">
        <v>151</v>
      </c>
      <c r="B504" s="152"/>
      <c r="C504" s="152"/>
      <c r="D504" s="153"/>
      <c r="E504" s="264"/>
      <c r="F504" s="153"/>
      <c r="G504" s="257"/>
      <c r="H504" s="153"/>
      <c r="I504" s="258"/>
      <c r="J504" s="153"/>
    </row>
    <row r="505" spans="1:10" ht="12.75" customHeight="1">
      <c r="A505" s="220" t="s">
        <v>152</v>
      </c>
      <c r="B505" s="152"/>
      <c r="C505" s="152"/>
      <c r="D505" s="153"/>
      <c r="E505" s="262"/>
      <c r="F505" s="153"/>
      <c r="G505" s="262"/>
      <c r="H505" s="153"/>
      <c r="I505" s="263"/>
      <c r="J505" s="153"/>
    </row>
    <row r="506" spans="1:10" ht="12.75" customHeight="1">
      <c r="A506" s="265"/>
      <c r="B506" s="152"/>
      <c r="C506" s="152"/>
      <c r="D506" s="153"/>
      <c r="E506" s="264"/>
      <c r="F506" s="153"/>
      <c r="G506" s="257"/>
      <c r="H506" s="153"/>
      <c r="I506" s="257"/>
      <c r="J506" s="153"/>
    </row>
    <row r="507" spans="1:10" ht="12.75" customHeight="1">
      <c r="A507" s="265"/>
      <c r="B507" s="152"/>
      <c r="C507" s="152"/>
      <c r="D507" s="153"/>
      <c r="E507" s="264"/>
      <c r="F507" s="153"/>
      <c r="G507" s="257"/>
      <c r="H507" s="153"/>
      <c r="I507" s="257"/>
      <c r="J507" s="153"/>
    </row>
    <row r="508" spans="1:10" ht="12.75" customHeight="1">
      <c r="A508" s="265"/>
      <c r="B508" s="152"/>
      <c r="C508" s="152"/>
      <c r="D508" s="153"/>
      <c r="E508" s="264"/>
      <c r="F508" s="153"/>
      <c r="G508" s="257"/>
      <c r="H508" s="153"/>
      <c r="I508" s="257"/>
      <c r="J508" s="153"/>
    </row>
    <row r="509" spans="1:10" ht="12.75" customHeight="1">
      <c r="A509" s="222" t="s">
        <v>153</v>
      </c>
      <c r="B509" s="152"/>
      <c r="C509" s="152"/>
      <c r="D509" s="153"/>
      <c r="E509" s="266">
        <f>SUM(E499:E508)</f>
        <v>0</v>
      </c>
      <c r="F509" s="153"/>
      <c r="G509" s="266">
        <f>SUM(G499:G508)</f>
        <v>0</v>
      </c>
      <c r="H509" s="153"/>
      <c r="I509" s="266">
        <f>SUM(I499:I508)</f>
        <v>0</v>
      </c>
      <c r="J509" s="153"/>
    </row>
    <row r="510" spans="1:10" ht="12.75" customHeight="1">
      <c r="A510" s="267" t="s">
        <v>154</v>
      </c>
      <c r="B510" s="163"/>
      <c r="C510" s="163"/>
      <c r="D510" s="163"/>
      <c r="E510" s="163"/>
      <c r="F510" s="163"/>
      <c r="G510" s="163"/>
      <c r="H510" s="163"/>
      <c r="I510" s="163"/>
      <c r="J510" s="164"/>
    </row>
    <row r="511" spans="1:10" ht="12.75" customHeight="1">
      <c r="A511" s="268" t="s">
        <v>155</v>
      </c>
      <c r="B511" s="171"/>
      <c r="C511" s="171"/>
      <c r="D511" s="171"/>
      <c r="E511" s="171"/>
      <c r="F511" s="171"/>
      <c r="G511" s="171"/>
      <c r="H511" s="171"/>
      <c r="I511" s="171"/>
      <c r="J511" s="172"/>
    </row>
    <row r="512" spans="1:10" ht="12.75" customHeight="1">
      <c r="A512" s="268" t="s">
        <v>156</v>
      </c>
      <c r="B512" s="171"/>
      <c r="C512" s="171"/>
      <c r="D512" s="171"/>
      <c r="E512" s="171"/>
      <c r="F512" s="171"/>
      <c r="G512" s="171"/>
      <c r="H512" s="171"/>
      <c r="I512" s="171"/>
      <c r="J512" s="172"/>
    </row>
    <row r="513" spans="1:10" ht="12.75" customHeight="1">
      <c r="A513" s="260" t="s">
        <v>157</v>
      </c>
      <c r="B513" s="149"/>
      <c r="C513" s="149"/>
      <c r="D513" s="149"/>
      <c r="E513" s="149"/>
      <c r="F513" s="149"/>
      <c r="G513" s="149"/>
      <c r="H513" s="149"/>
      <c r="I513" s="149"/>
      <c r="J513" s="150"/>
    </row>
    <row r="514" spans="1:10" ht="12.75" customHeight="1">
      <c r="A514" s="261"/>
      <c r="B514" s="197"/>
      <c r="C514" s="197"/>
      <c r="D514" s="197"/>
      <c r="E514" s="197"/>
      <c r="F514" s="197"/>
      <c r="G514" s="197"/>
      <c r="H514" s="197"/>
      <c r="I514" s="197"/>
      <c r="J514" s="198"/>
    </row>
    <row r="515" spans="1:10" ht="12.75" customHeight="1">
      <c r="A515" s="158"/>
      <c r="B515" s="156"/>
      <c r="C515" s="156"/>
      <c r="D515" s="156"/>
      <c r="E515" s="156"/>
      <c r="F515" s="156"/>
      <c r="G515" s="156"/>
      <c r="H515" s="156"/>
      <c r="I515" s="156"/>
      <c r="J515" s="157"/>
    </row>
    <row r="516" spans="1:10" ht="12.75" customHeight="1">
      <c r="A516" s="158"/>
      <c r="B516" s="156"/>
      <c r="C516" s="156"/>
      <c r="D516" s="156"/>
      <c r="E516" s="156"/>
      <c r="F516" s="156"/>
      <c r="G516" s="156"/>
      <c r="H516" s="156"/>
      <c r="I516" s="156"/>
      <c r="J516" s="157"/>
    </row>
    <row r="517" spans="1:10" ht="12.75" customHeight="1">
      <c r="A517" s="158"/>
      <c r="B517" s="156"/>
      <c r="C517" s="156"/>
      <c r="D517" s="156"/>
      <c r="E517" s="156"/>
      <c r="F517" s="156"/>
      <c r="G517" s="156"/>
      <c r="H517" s="156"/>
      <c r="I517" s="156"/>
      <c r="J517" s="157"/>
    </row>
    <row r="518" spans="1:10" ht="12.75" customHeight="1">
      <c r="A518" s="158"/>
      <c r="B518" s="156"/>
      <c r="C518" s="156"/>
      <c r="D518" s="156"/>
      <c r="E518" s="156"/>
      <c r="F518" s="156"/>
      <c r="G518" s="156"/>
      <c r="H518" s="156"/>
      <c r="I518" s="156"/>
      <c r="J518" s="157"/>
    </row>
    <row r="519" spans="1:10" ht="12.75" customHeight="1">
      <c r="A519" s="158"/>
      <c r="B519" s="156"/>
      <c r="C519" s="156"/>
      <c r="D519" s="156"/>
      <c r="E519" s="156"/>
      <c r="F519" s="156"/>
      <c r="G519" s="156"/>
      <c r="H519" s="156"/>
      <c r="I519" s="156"/>
      <c r="J519" s="157"/>
    </row>
    <row r="520" spans="1:10" ht="12.75" customHeight="1">
      <c r="A520" s="158"/>
      <c r="B520" s="156"/>
      <c r="C520" s="156"/>
      <c r="D520" s="156"/>
      <c r="E520" s="156"/>
      <c r="F520" s="156"/>
      <c r="G520" s="156"/>
      <c r="H520" s="156"/>
      <c r="I520" s="156"/>
      <c r="J520" s="157"/>
    </row>
    <row r="521" spans="1:10" ht="12.75" customHeight="1">
      <c r="A521" s="158"/>
      <c r="B521" s="156"/>
      <c r="C521" s="156"/>
      <c r="D521" s="156"/>
      <c r="E521" s="156"/>
      <c r="F521" s="156"/>
      <c r="G521" s="156"/>
      <c r="H521" s="156"/>
      <c r="I521" s="156"/>
      <c r="J521" s="157"/>
    </row>
    <row r="522" spans="1:10" ht="12.75" customHeight="1">
      <c r="A522" s="158"/>
      <c r="B522" s="156"/>
      <c r="C522" s="156"/>
      <c r="D522" s="156"/>
      <c r="E522" s="156"/>
      <c r="F522" s="156"/>
      <c r="G522" s="156"/>
      <c r="H522" s="156"/>
      <c r="I522" s="156"/>
      <c r="J522" s="157"/>
    </row>
    <row r="523" spans="1:10" ht="12.75" customHeight="1">
      <c r="A523" s="158"/>
      <c r="B523" s="156"/>
      <c r="C523" s="156"/>
      <c r="D523" s="156"/>
      <c r="E523" s="156"/>
      <c r="F523" s="156"/>
      <c r="G523" s="156"/>
      <c r="H523" s="156"/>
      <c r="I523" s="156"/>
      <c r="J523" s="157"/>
    </row>
    <row r="524" spans="1:10" ht="12.75" customHeight="1">
      <c r="A524" s="158"/>
      <c r="B524" s="156"/>
      <c r="C524" s="156"/>
      <c r="D524" s="156"/>
      <c r="E524" s="156"/>
      <c r="F524" s="156"/>
      <c r="G524" s="156"/>
      <c r="H524" s="156"/>
      <c r="I524" s="156"/>
      <c r="J524" s="157"/>
    </row>
    <row r="525" spans="1:10" ht="12.75" customHeight="1">
      <c r="A525" s="158"/>
      <c r="B525" s="156"/>
      <c r="C525" s="156"/>
      <c r="D525" s="156"/>
      <c r="E525" s="156"/>
      <c r="F525" s="156"/>
      <c r="G525" s="156"/>
      <c r="H525" s="156"/>
      <c r="I525" s="156"/>
      <c r="J525" s="157"/>
    </row>
    <row r="526" spans="1:10" ht="12.75" customHeight="1">
      <c r="A526" s="158"/>
      <c r="B526" s="156"/>
      <c r="C526" s="156"/>
      <c r="D526" s="156"/>
      <c r="E526" s="156"/>
      <c r="F526" s="156"/>
      <c r="G526" s="156"/>
      <c r="H526" s="156"/>
      <c r="I526" s="156"/>
      <c r="J526" s="157"/>
    </row>
    <row r="527" spans="1:10" ht="12.75" customHeight="1">
      <c r="A527" s="158"/>
      <c r="B527" s="156"/>
      <c r="C527" s="156"/>
      <c r="D527" s="156"/>
      <c r="E527" s="156"/>
      <c r="F527" s="156"/>
      <c r="G527" s="156"/>
      <c r="H527" s="156"/>
      <c r="I527" s="156"/>
      <c r="J527" s="157"/>
    </row>
    <row r="528" spans="1:10" ht="12.75" customHeight="1">
      <c r="A528" s="158"/>
      <c r="B528" s="156"/>
      <c r="C528" s="156"/>
      <c r="D528" s="156"/>
      <c r="E528" s="156"/>
      <c r="F528" s="156"/>
      <c r="G528" s="156"/>
      <c r="H528" s="156"/>
      <c r="I528" s="156"/>
      <c r="J528" s="157"/>
    </row>
    <row r="529" spans="1:10" ht="12.75" customHeight="1">
      <c r="A529" s="158"/>
      <c r="B529" s="156"/>
      <c r="C529" s="156"/>
      <c r="D529" s="156"/>
      <c r="E529" s="156"/>
      <c r="F529" s="156"/>
      <c r="G529" s="156"/>
      <c r="H529" s="156"/>
      <c r="I529" s="156"/>
      <c r="J529" s="157"/>
    </row>
    <row r="530" spans="1:10" ht="12.75" customHeight="1">
      <c r="A530" s="158"/>
      <c r="B530" s="156"/>
      <c r="C530" s="156"/>
      <c r="D530" s="156"/>
      <c r="E530" s="156"/>
      <c r="F530" s="156"/>
      <c r="G530" s="156"/>
      <c r="H530" s="156"/>
      <c r="I530" s="156"/>
      <c r="J530" s="157"/>
    </row>
    <row r="531" spans="1:10" ht="12.75" customHeight="1">
      <c r="A531" s="158"/>
      <c r="B531" s="156"/>
      <c r="C531" s="156"/>
      <c r="D531" s="156"/>
      <c r="E531" s="156"/>
      <c r="F531" s="156"/>
      <c r="G531" s="156"/>
      <c r="H531" s="156"/>
      <c r="I531" s="156"/>
      <c r="J531" s="157"/>
    </row>
    <row r="532" spans="1:10" ht="12.75" customHeight="1">
      <c r="A532" s="158"/>
      <c r="B532" s="156"/>
      <c r="C532" s="156"/>
      <c r="D532" s="156"/>
      <c r="E532" s="156"/>
      <c r="F532" s="156"/>
      <c r="G532" s="156"/>
      <c r="H532" s="156"/>
      <c r="I532" s="156"/>
      <c r="J532" s="157"/>
    </row>
    <row r="533" spans="1:10" ht="12.75" customHeight="1">
      <c r="A533" s="158"/>
      <c r="B533" s="156"/>
      <c r="C533" s="156"/>
      <c r="D533" s="156"/>
      <c r="E533" s="156"/>
      <c r="F533" s="156"/>
      <c r="G533" s="156"/>
      <c r="H533" s="156"/>
      <c r="I533" s="156"/>
      <c r="J533" s="157"/>
    </row>
    <row r="534" spans="1:10" ht="12.75" customHeight="1">
      <c r="A534" s="158"/>
      <c r="B534" s="156"/>
      <c r="C534" s="156"/>
      <c r="D534" s="156"/>
      <c r="E534" s="156"/>
      <c r="F534" s="156"/>
      <c r="G534" s="156"/>
      <c r="H534" s="156"/>
      <c r="I534" s="156"/>
      <c r="J534" s="157"/>
    </row>
    <row r="535" spans="1:10" ht="12.75" customHeight="1">
      <c r="A535" s="158"/>
      <c r="B535" s="156"/>
      <c r="C535" s="156"/>
      <c r="D535" s="156"/>
      <c r="E535" s="156"/>
      <c r="F535" s="156"/>
      <c r="G535" s="156"/>
      <c r="H535" s="156"/>
      <c r="I535" s="156"/>
      <c r="J535" s="157"/>
    </row>
    <row r="536" spans="1:10" ht="12.75" customHeight="1">
      <c r="A536" s="158"/>
      <c r="B536" s="156"/>
      <c r="C536" s="156"/>
      <c r="D536" s="156"/>
      <c r="E536" s="156"/>
      <c r="F536" s="156"/>
      <c r="G536" s="156"/>
      <c r="H536" s="156"/>
      <c r="I536" s="156"/>
      <c r="J536" s="157"/>
    </row>
    <row r="537" spans="1:10" ht="12.75" customHeight="1">
      <c r="A537" s="158"/>
      <c r="B537" s="156"/>
      <c r="C537" s="156"/>
      <c r="D537" s="156"/>
      <c r="E537" s="156"/>
      <c r="F537" s="156"/>
      <c r="G537" s="156"/>
      <c r="H537" s="156"/>
      <c r="I537" s="156"/>
      <c r="J537" s="157"/>
    </row>
    <row r="538" spans="1:10" ht="12.75" customHeight="1">
      <c r="A538" s="158"/>
      <c r="B538" s="156"/>
      <c r="C538" s="156"/>
      <c r="D538" s="156"/>
      <c r="E538" s="156"/>
      <c r="F538" s="156"/>
      <c r="G538" s="156"/>
      <c r="H538" s="156"/>
      <c r="I538" s="156"/>
      <c r="J538" s="157"/>
    </row>
    <row r="539" spans="1:10" ht="12.75" customHeight="1">
      <c r="A539" s="158"/>
      <c r="B539" s="156"/>
      <c r="C539" s="156"/>
      <c r="D539" s="156"/>
      <c r="E539" s="156"/>
      <c r="F539" s="156"/>
      <c r="G539" s="156"/>
      <c r="H539" s="156"/>
      <c r="I539" s="156"/>
      <c r="J539" s="157"/>
    </row>
    <row r="540" spans="1:10" ht="12.75" customHeight="1">
      <c r="A540" s="158"/>
      <c r="B540" s="156"/>
      <c r="C540" s="156"/>
      <c r="D540" s="156"/>
      <c r="E540" s="156"/>
      <c r="F540" s="156"/>
      <c r="G540" s="156"/>
      <c r="H540" s="156"/>
      <c r="I540" s="156"/>
      <c r="J540" s="157"/>
    </row>
    <row r="541" spans="1:10" ht="12.75" customHeight="1">
      <c r="A541" s="158"/>
      <c r="B541" s="156"/>
      <c r="C541" s="156"/>
      <c r="D541" s="156"/>
      <c r="E541" s="156"/>
      <c r="F541" s="156"/>
      <c r="G541" s="156"/>
      <c r="H541" s="156"/>
      <c r="I541" s="156"/>
      <c r="J541" s="157"/>
    </row>
    <row r="542" spans="1:10" ht="12.75" customHeight="1">
      <c r="A542" s="158"/>
      <c r="B542" s="156"/>
      <c r="C542" s="156"/>
      <c r="D542" s="156"/>
      <c r="E542" s="156"/>
      <c r="F542" s="156"/>
      <c r="G542" s="156"/>
      <c r="H542" s="156"/>
      <c r="I542" s="156"/>
      <c r="J542" s="157"/>
    </row>
    <row r="543" spans="1:10" ht="12.75" customHeight="1">
      <c r="A543" s="158"/>
      <c r="B543" s="156"/>
      <c r="C543" s="156"/>
      <c r="D543" s="156"/>
      <c r="E543" s="156"/>
      <c r="F543" s="156"/>
      <c r="G543" s="156"/>
      <c r="H543" s="156"/>
      <c r="I543" s="156"/>
      <c r="J543" s="157"/>
    </row>
    <row r="544" spans="1:10" ht="12.75" customHeight="1">
      <c r="A544" s="199"/>
      <c r="B544" s="167"/>
      <c r="C544" s="167"/>
      <c r="D544" s="167"/>
      <c r="E544" s="167"/>
      <c r="F544" s="167"/>
      <c r="G544" s="167"/>
      <c r="H544" s="167"/>
      <c r="I544" s="167"/>
      <c r="J544" s="168"/>
    </row>
    <row r="545" spans="1:10" ht="12.75" customHeight="1">
      <c r="A545" s="105"/>
      <c r="B545" s="105"/>
      <c r="C545" s="105"/>
      <c r="D545" s="105"/>
      <c r="E545" s="105"/>
      <c r="F545" s="105"/>
      <c r="G545" s="105"/>
      <c r="H545" s="105"/>
      <c r="I545" s="105"/>
      <c r="J545" s="105"/>
    </row>
    <row r="546" spans="1:10" ht="12.75" customHeight="1">
      <c r="A546" s="207" t="s">
        <v>65</v>
      </c>
      <c r="B546" s="152"/>
      <c r="C546" s="152"/>
      <c r="D546" s="152"/>
      <c r="E546" s="152"/>
      <c r="F546" s="152"/>
      <c r="G546" s="181"/>
      <c r="H546" s="208" t="str">
        <f>'CONTACT INFORMATION'!$A$24</f>
        <v>Humboldt</v>
      </c>
      <c r="I546" s="152"/>
      <c r="J546" s="153"/>
    </row>
    <row r="547" spans="1:10" ht="12.75" customHeight="1">
      <c r="A547" s="66"/>
      <c r="B547" s="66"/>
      <c r="C547" s="66"/>
      <c r="D547" s="66"/>
      <c r="E547" s="66"/>
      <c r="F547" s="66"/>
      <c r="G547" s="66"/>
      <c r="H547" s="66"/>
      <c r="I547" s="66"/>
      <c r="J547" s="66"/>
    </row>
    <row r="548" spans="1:10" ht="12.75" customHeight="1">
      <c r="A548" s="251" t="s">
        <v>205</v>
      </c>
      <c r="B548" s="152"/>
      <c r="C548" s="152"/>
      <c r="D548" s="152"/>
      <c r="E548" s="152"/>
      <c r="F548" s="152"/>
      <c r="G548" s="152"/>
      <c r="H548" s="152"/>
      <c r="I548" s="152"/>
      <c r="J548" s="153"/>
    </row>
    <row r="549" spans="1:10" ht="12.75" customHeight="1">
      <c r="A549" s="252" t="s">
        <v>140</v>
      </c>
      <c r="B549" s="163"/>
      <c r="C549" s="163"/>
      <c r="D549" s="164"/>
      <c r="E549" s="269"/>
      <c r="F549" s="197"/>
      <c r="G549" s="197"/>
      <c r="H549" s="197"/>
      <c r="I549" s="197"/>
      <c r="J549" s="198"/>
    </row>
    <row r="550" spans="1:10" ht="12.75" customHeight="1">
      <c r="A550" s="254" t="s">
        <v>161</v>
      </c>
      <c r="B550" s="149"/>
      <c r="C550" s="149"/>
      <c r="D550" s="150"/>
      <c r="E550" s="199"/>
      <c r="F550" s="167"/>
      <c r="G550" s="167"/>
      <c r="H550" s="167"/>
      <c r="I550" s="167"/>
      <c r="J550" s="168"/>
    </row>
    <row r="551" spans="1:10" ht="12.75" customHeight="1">
      <c r="A551" s="259" t="s">
        <v>206</v>
      </c>
      <c r="B551" s="152"/>
      <c r="C551" s="152"/>
      <c r="D551" s="153"/>
      <c r="E551" s="221"/>
      <c r="F551" s="152"/>
      <c r="G551" s="152"/>
      <c r="H551" s="152"/>
      <c r="I551" s="152"/>
      <c r="J551" s="153"/>
    </row>
    <row r="552" spans="1:10" ht="12.75" customHeight="1">
      <c r="A552" s="53"/>
      <c r="B552" s="55"/>
      <c r="C552" s="55"/>
      <c r="D552" s="55"/>
      <c r="E552" s="278" t="s">
        <v>143</v>
      </c>
      <c r="F552" s="152"/>
      <c r="G552" s="278" t="s">
        <v>144</v>
      </c>
      <c r="H552" s="152"/>
      <c r="I552" s="279" t="s">
        <v>145</v>
      </c>
      <c r="J552" s="153"/>
    </row>
    <row r="553" spans="1:10" ht="12.75" customHeight="1">
      <c r="A553" s="220" t="s">
        <v>146</v>
      </c>
      <c r="B553" s="152"/>
      <c r="C553" s="152"/>
      <c r="D553" s="153"/>
      <c r="E553" s="239"/>
      <c r="F553" s="153"/>
      <c r="G553" s="239"/>
      <c r="H553" s="153"/>
      <c r="I553" s="240"/>
      <c r="J553" s="153"/>
    </row>
    <row r="554" spans="1:10" ht="12.75" customHeight="1">
      <c r="A554" s="241" t="s">
        <v>147</v>
      </c>
      <c r="B554" s="152"/>
      <c r="C554" s="152"/>
      <c r="D554" s="153"/>
      <c r="E554" s="264"/>
      <c r="F554" s="153"/>
      <c r="G554" s="257"/>
      <c r="H554" s="153"/>
      <c r="I554" s="258"/>
      <c r="J554" s="153"/>
    </row>
    <row r="555" spans="1:10" ht="12.75" customHeight="1">
      <c r="A555" s="220" t="s">
        <v>148</v>
      </c>
      <c r="B555" s="152"/>
      <c r="C555" s="152"/>
      <c r="D555" s="153"/>
      <c r="E555" s="239"/>
      <c r="F555" s="153"/>
      <c r="G555" s="239"/>
      <c r="H555" s="153"/>
      <c r="I555" s="240"/>
      <c r="J555" s="153"/>
    </row>
    <row r="556" spans="1:10" ht="12.75" customHeight="1">
      <c r="A556" s="241" t="s">
        <v>149</v>
      </c>
      <c r="B556" s="152"/>
      <c r="C556" s="152"/>
      <c r="D556" s="153"/>
      <c r="E556" s="264"/>
      <c r="F556" s="153"/>
      <c r="G556" s="257"/>
      <c r="H556" s="153"/>
      <c r="I556" s="258"/>
      <c r="J556" s="153"/>
    </row>
    <row r="557" spans="1:10" ht="12.75" customHeight="1">
      <c r="A557" s="220" t="s">
        <v>150</v>
      </c>
      <c r="B557" s="152"/>
      <c r="C557" s="152"/>
      <c r="D557" s="153"/>
      <c r="E557" s="239"/>
      <c r="F557" s="153"/>
      <c r="G557" s="239"/>
      <c r="H557" s="153"/>
      <c r="I557" s="240"/>
      <c r="J557" s="153"/>
    </row>
    <row r="558" spans="1:10" ht="12.75" customHeight="1">
      <c r="A558" s="241" t="s">
        <v>151</v>
      </c>
      <c r="B558" s="152"/>
      <c r="C558" s="152"/>
      <c r="D558" s="153"/>
      <c r="E558" s="264"/>
      <c r="F558" s="153"/>
      <c r="G558" s="257"/>
      <c r="H558" s="153"/>
      <c r="I558" s="258"/>
      <c r="J558" s="153"/>
    </row>
    <row r="559" spans="1:10" ht="12.75" customHeight="1">
      <c r="A559" s="220" t="s">
        <v>152</v>
      </c>
      <c r="B559" s="152"/>
      <c r="C559" s="152"/>
      <c r="D559" s="153"/>
      <c r="E559" s="262"/>
      <c r="F559" s="153"/>
      <c r="G559" s="262"/>
      <c r="H559" s="153"/>
      <c r="I559" s="263"/>
      <c r="J559" s="153"/>
    </row>
    <row r="560" spans="1:10" ht="12.75" customHeight="1">
      <c r="A560" s="265"/>
      <c r="B560" s="152"/>
      <c r="C560" s="152"/>
      <c r="D560" s="153"/>
      <c r="E560" s="264"/>
      <c r="F560" s="153"/>
      <c r="G560" s="257"/>
      <c r="H560" s="153"/>
      <c r="I560" s="257"/>
      <c r="J560" s="153"/>
    </row>
    <row r="561" spans="1:10" ht="12.75" customHeight="1">
      <c r="A561" s="265"/>
      <c r="B561" s="152"/>
      <c r="C561" s="152"/>
      <c r="D561" s="153"/>
      <c r="E561" s="264"/>
      <c r="F561" s="153"/>
      <c r="G561" s="257"/>
      <c r="H561" s="153"/>
      <c r="I561" s="257"/>
      <c r="J561" s="153"/>
    </row>
    <row r="562" spans="1:10" ht="12.75" customHeight="1">
      <c r="A562" s="265"/>
      <c r="B562" s="152"/>
      <c r="C562" s="152"/>
      <c r="D562" s="153"/>
      <c r="E562" s="264"/>
      <c r="F562" s="153"/>
      <c r="G562" s="257"/>
      <c r="H562" s="153"/>
      <c r="I562" s="257"/>
      <c r="J562" s="153"/>
    </row>
    <row r="563" spans="1:10" ht="12.75" customHeight="1">
      <c r="A563" s="222" t="s">
        <v>153</v>
      </c>
      <c r="B563" s="152"/>
      <c r="C563" s="152"/>
      <c r="D563" s="153"/>
      <c r="E563" s="266">
        <f>SUM(E553:E562)</f>
        <v>0</v>
      </c>
      <c r="F563" s="153"/>
      <c r="G563" s="266">
        <f>SUM(G553:G562)</f>
        <v>0</v>
      </c>
      <c r="H563" s="153"/>
      <c r="I563" s="266">
        <f>SUM(I553:I562)</f>
        <v>0</v>
      </c>
      <c r="J563" s="153"/>
    </row>
    <row r="564" spans="1:10" ht="12.75" customHeight="1">
      <c r="A564" s="267" t="s">
        <v>154</v>
      </c>
      <c r="B564" s="163"/>
      <c r="C564" s="163"/>
      <c r="D564" s="163"/>
      <c r="E564" s="163"/>
      <c r="F564" s="163"/>
      <c r="G564" s="163"/>
      <c r="H564" s="163"/>
      <c r="I564" s="163"/>
      <c r="J564" s="164"/>
    </row>
    <row r="565" spans="1:10" ht="12.75" customHeight="1">
      <c r="A565" s="268" t="s">
        <v>155</v>
      </c>
      <c r="B565" s="171"/>
      <c r="C565" s="171"/>
      <c r="D565" s="171"/>
      <c r="E565" s="171"/>
      <c r="F565" s="171"/>
      <c r="G565" s="171"/>
      <c r="H565" s="171"/>
      <c r="I565" s="171"/>
      <c r="J565" s="172"/>
    </row>
    <row r="566" spans="1:10" ht="12.75" customHeight="1">
      <c r="A566" s="268" t="s">
        <v>156</v>
      </c>
      <c r="B566" s="171"/>
      <c r="C566" s="171"/>
      <c r="D566" s="171"/>
      <c r="E566" s="171"/>
      <c r="F566" s="171"/>
      <c r="G566" s="171"/>
      <c r="H566" s="171"/>
      <c r="I566" s="171"/>
      <c r="J566" s="172"/>
    </row>
    <row r="567" spans="1:10" ht="12.75" customHeight="1">
      <c r="A567" s="260" t="s">
        <v>157</v>
      </c>
      <c r="B567" s="149"/>
      <c r="C567" s="149"/>
      <c r="D567" s="149"/>
      <c r="E567" s="149"/>
      <c r="F567" s="149"/>
      <c r="G567" s="149"/>
      <c r="H567" s="149"/>
      <c r="I567" s="149"/>
      <c r="J567" s="150"/>
    </row>
    <row r="568" spans="1:10" ht="12.75" customHeight="1">
      <c r="A568" s="261"/>
      <c r="B568" s="197"/>
      <c r="C568" s="197"/>
      <c r="D568" s="197"/>
      <c r="E568" s="197"/>
      <c r="F568" s="197"/>
      <c r="G568" s="197"/>
      <c r="H568" s="197"/>
      <c r="I568" s="197"/>
      <c r="J568" s="198"/>
    </row>
    <row r="569" spans="1:10" ht="12.75" customHeight="1">
      <c r="A569" s="158"/>
      <c r="B569" s="156"/>
      <c r="C569" s="156"/>
      <c r="D569" s="156"/>
      <c r="E569" s="156"/>
      <c r="F569" s="156"/>
      <c r="G569" s="156"/>
      <c r="H569" s="156"/>
      <c r="I569" s="156"/>
      <c r="J569" s="157"/>
    </row>
    <row r="570" spans="1:10" ht="12.75" customHeight="1">
      <c r="A570" s="158"/>
      <c r="B570" s="156"/>
      <c r="C570" s="156"/>
      <c r="D570" s="156"/>
      <c r="E570" s="156"/>
      <c r="F570" s="156"/>
      <c r="G570" s="156"/>
      <c r="H570" s="156"/>
      <c r="I570" s="156"/>
      <c r="J570" s="157"/>
    </row>
    <row r="571" spans="1:10" ht="12.75" customHeight="1">
      <c r="A571" s="158"/>
      <c r="B571" s="156"/>
      <c r="C571" s="156"/>
      <c r="D571" s="156"/>
      <c r="E571" s="156"/>
      <c r="F571" s="156"/>
      <c r="G571" s="156"/>
      <c r="H571" s="156"/>
      <c r="I571" s="156"/>
      <c r="J571" s="157"/>
    </row>
    <row r="572" spans="1:10" ht="12.75" customHeight="1">
      <c r="A572" s="158"/>
      <c r="B572" s="156"/>
      <c r="C572" s="156"/>
      <c r="D572" s="156"/>
      <c r="E572" s="156"/>
      <c r="F572" s="156"/>
      <c r="G572" s="156"/>
      <c r="H572" s="156"/>
      <c r="I572" s="156"/>
      <c r="J572" s="157"/>
    </row>
    <row r="573" spans="1:10" ht="12.75" customHeight="1">
      <c r="A573" s="158"/>
      <c r="B573" s="156"/>
      <c r="C573" s="156"/>
      <c r="D573" s="156"/>
      <c r="E573" s="156"/>
      <c r="F573" s="156"/>
      <c r="G573" s="156"/>
      <c r="H573" s="156"/>
      <c r="I573" s="156"/>
      <c r="J573" s="157"/>
    </row>
    <row r="574" spans="1:10" ht="12.75" customHeight="1">
      <c r="A574" s="158"/>
      <c r="B574" s="156"/>
      <c r="C574" s="156"/>
      <c r="D574" s="156"/>
      <c r="E574" s="156"/>
      <c r="F574" s="156"/>
      <c r="G574" s="156"/>
      <c r="H574" s="156"/>
      <c r="I574" s="156"/>
      <c r="J574" s="157"/>
    </row>
    <row r="575" spans="1:10" ht="12.75" customHeight="1">
      <c r="A575" s="158"/>
      <c r="B575" s="156"/>
      <c r="C575" s="156"/>
      <c r="D575" s="156"/>
      <c r="E575" s="156"/>
      <c r="F575" s="156"/>
      <c r="G575" s="156"/>
      <c r="H575" s="156"/>
      <c r="I575" s="156"/>
      <c r="J575" s="157"/>
    </row>
    <row r="576" spans="1:10" ht="12.75" customHeight="1">
      <c r="A576" s="158"/>
      <c r="B576" s="156"/>
      <c r="C576" s="156"/>
      <c r="D576" s="156"/>
      <c r="E576" s="156"/>
      <c r="F576" s="156"/>
      <c r="G576" s="156"/>
      <c r="H576" s="156"/>
      <c r="I576" s="156"/>
      <c r="J576" s="157"/>
    </row>
    <row r="577" spans="1:10" ht="12.75" customHeight="1">
      <c r="A577" s="158"/>
      <c r="B577" s="156"/>
      <c r="C577" s="156"/>
      <c r="D577" s="156"/>
      <c r="E577" s="156"/>
      <c r="F577" s="156"/>
      <c r="G577" s="156"/>
      <c r="H577" s="156"/>
      <c r="I577" s="156"/>
      <c r="J577" s="157"/>
    </row>
    <row r="578" spans="1:10" ht="12.75" customHeight="1">
      <c r="A578" s="158"/>
      <c r="B578" s="156"/>
      <c r="C578" s="156"/>
      <c r="D578" s="156"/>
      <c r="E578" s="156"/>
      <c r="F578" s="156"/>
      <c r="G578" s="156"/>
      <c r="H578" s="156"/>
      <c r="I578" s="156"/>
      <c r="J578" s="157"/>
    </row>
    <row r="579" spans="1:10" ht="12.75" customHeight="1">
      <c r="A579" s="158"/>
      <c r="B579" s="156"/>
      <c r="C579" s="156"/>
      <c r="D579" s="156"/>
      <c r="E579" s="156"/>
      <c r="F579" s="156"/>
      <c r="G579" s="156"/>
      <c r="H579" s="156"/>
      <c r="I579" s="156"/>
      <c r="J579" s="157"/>
    </row>
    <row r="580" spans="1:10" ht="12.75" customHeight="1">
      <c r="A580" s="158"/>
      <c r="B580" s="156"/>
      <c r="C580" s="156"/>
      <c r="D580" s="156"/>
      <c r="E580" s="156"/>
      <c r="F580" s="156"/>
      <c r="G580" s="156"/>
      <c r="H580" s="156"/>
      <c r="I580" s="156"/>
      <c r="J580" s="157"/>
    </row>
    <row r="581" spans="1:10" ht="12.75" customHeight="1">
      <c r="A581" s="158"/>
      <c r="B581" s="156"/>
      <c r="C581" s="156"/>
      <c r="D581" s="156"/>
      <c r="E581" s="156"/>
      <c r="F581" s="156"/>
      <c r="G581" s="156"/>
      <c r="H581" s="156"/>
      <c r="I581" s="156"/>
      <c r="J581" s="157"/>
    </row>
    <row r="582" spans="1:10" ht="12.75" customHeight="1">
      <c r="A582" s="158"/>
      <c r="B582" s="156"/>
      <c r="C582" s="156"/>
      <c r="D582" s="156"/>
      <c r="E582" s="156"/>
      <c r="F582" s="156"/>
      <c r="G582" s="156"/>
      <c r="H582" s="156"/>
      <c r="I582" s="156"/>
      <c r="J582" s="157"/>
    </row>
    <row r="583" spans="1:10" ht="12.75" customHeight="1">
      <c r="A583" s="158"/>
      <c r="B583" s="156"/>
      <c r="C583" s="156"/>
      <c r="D583" s="156"/>
      <c r="E583" s="156"/>
      <c r="F583" s="156"/>
      <c r="G583" s="156"/>
      <c r="H583" s="156"/>
      <c r="I583" s="156"/>
      <c r="J583" s="157"/>
    </row>
    <row r="584" spans="1:10" ht="12.75" customHeight="1">
      <c r="A584" s="158"/>
      <c r="B584" s="156"/>
      <c r="C584" s="156"/>
      <c r="D584" s="156"/>
      <c r="E584" s="156"/>
      <c r="F584" s="156"/>
      <c r="G584" s="156"/>
      <c r="H584" s="156"/>
      <c r="I584" s="156"/>
      <c r="J584" s="157"/>
    </row>
    <row r="585" spans="1:10" ht="12.75" customHeight="1">
      <c r="A585" s="158"/>
      <c r="B585" s="156"/>
      <c r="C585" s="156"/>
      <c r="D585" s="156"/>
      <c r="E585" s="156"/>
      <c r="F585" s="156"/>
      <c r="G585" s="156"/>
      <c r="H585" s="156"/>
      <c r="I585" s="156"/>
      <c r="J585" s="157"/>
    </row>
    <row r="586" spans="1:10" ht="12.75" customHeight="1">
      <c r="A586" s="158"/>
      <c r="B586" s="156"/>
      <c r="C586" s="156"/>
      <c r="D586" s="156"/>
      <c r="E586" s="156"/>
      <c r="F586" s="156"/>
      <c r="G586" s="156"/>
      <c r="H586" s="156"/>
      <c r="I586" s="156"/>
      <c r="J586" s="157"/>
    </row>
    <row r="587" spans="1:10" ht="12.75" customHeight="1">
      <c r="A587" s="158"/>
      <c r="B587" s="156"/>
      <c r="C587" s="156"/>
      <c r="D587" s="156"/>
      <c r="E587" s="156"/>
      <c r="F587" s="156"/>
      <c r="G587" s="156"/>
      <c r="H587" s="156"/>
      <c r="I587" s="156"/>
      <c r="J587" s="157"/>
    </row>
    <row r="588" spans="1:10" ht="12.75" customHeight="1">
      <c r="A588" s="158"/>
      <c r="B588" s="156"/>
      <c r="C588" s="156"/>
      <c r="D588" s="156"/>
      <c r="E588" s="156"/>
      <c r="F588" s="156"/>
      <c r="G588" s="156"/>
      <c r="H588" s="156"/>
      <c r="I588" s="156"/>
      <c r="J588" s="157"/>
    </row>
    <row r="589" spans="1:10" ht="12.75" customHeight="1">
      <c r="A589" s="158"/>
      <c r="B589" s="156"/>
      <c r="C589" s="156"/>
      <c r="D589" s="156"/>
      <c r="E589" s="156"/>
      <c r="F589" s="156"/>
      <c r="G589" s="156"/>
      <c r="H589" s="156"/>
      <c r="I589" s="156"/>
      <c r="J589" s="157"/>
    </row>
    <row r="590" spans="1:10" ht="12.75" customHeight="1">
      <c r="A590" s="158"/>
      <c r="B590" s="156"/>
      <c r="C590" s="156"/>
      <c r="D590" s="156"/>
      <c r="E590" s="156"/>
      <c r="F590" s="156"/>
      <c r="G590" s="156"/>
      <c r="H590" s="156"/>
      <c r="I590" s="156"/>
      <c r="J590" s="157"/>
    </row>
    <row r="591" spans="1:10" ht="12.75" customHeight="1">
      <c r="A591" s="158"/>
      <c r="B591" s="156"/>
      <c r="C591" s="156"/>
      <c r="D591" s="156"/>
      <c r="E591" s="156"/>
      <c r="F591" s="156"/>
      <c r="G591" s="156"/>
      <c r="H591" s="156"/>
      <c r="I591" s="156"/>
      <c r="J591" s="157"/>
    </row>
    <row r="592" spans="1:10" ht="12.75" customHeight="1">
      <c r="A592" s="158"/>
      <c r="B592" s="156"/>
      <c r="C592" s="156"/>
      <c r="D592" s="156"/>
      <c r="E592" s="156"/>
      <c r="F592" s="156"/>
      <c r="G592" s="156"/>
      <c r="H592" s="156"/>
      <c r="I592" s="156"/>
      <c r="J592" s="157"/>
    </row>
    <row r="593" spans="1:10" ht="12.75" customHeight="1">
      <c r="A593" s="158"/>
      <c r="B593" s="156"/>
      <c r="C593" s="156"/>
      <c r="D593" s="156"/>
      <c r="E593" s="156"/>
      <c r="F593" s="156"/>
      <c r="G593" s="156"/>
      <c r="H593" s="156"/>
      <c r="I593" s="156"/>
      <c r="J593" s="157"/>
    </row>
    <row r="594" spans="1:10" ht="12.75" customHeight="1">
      <c r="A594" s="158"/>
      <c r="B594" s="156"/>
      <c r="C594" s="156"/>
      <c r="D594" s="156"/>
      <c r="E594" s="156"/>
      <c r="F594" s="156"/>
      <c r="G594" s="156"/>
      <c r="H594" s="156"/>
      <c r="I594" s="156"/>
      <c r="J594" s="157"/>
    </row>
    <row r="595" spans="1:10" ht="12.75" customHeight="1">
      <c r="A595" s="158"/>
      <c r="B595" s="156"/>
      <c r="C595" s="156"/>
      <c r="D595" s="156"/>
      <c r="E595" s="156"/>
      <c r="F595" s="156"/>
      <c r="G595" s="156"/>
      <c r="H595" s="156"/>
      <c r="I595" s="156"/>
      <c r="J595" s="157"/>
    </row>
    <row r="596" spans="1:10" ht="12.75" customHeight="1">
      <c r="A596" s="158"/>
      <c r="B596" s="156"/>
      <c r="C596" s="156"/>
      <c r="D596" s="156"/>
      <c r="E596" s="156"/>
      <c r="F596" s="156"/>
      <c r="G596" s="156"/>
      <c r="H596" s="156"/>
      <c r="I596" s="156"/>
      <c r="J596" s="157"/>
    </row>
    <row r="597" spans="1:10" ht="12.75" customHeight="1">
      <c r="A597" s="158"/>
      <c r="B597" s="156"/>
      <c r="C597" s="156"/>
      <c r="D597" s="156"/>
      <c r="E597" s="156"/>
      <c r="F597" s="156"/>
      <c r="G597" s="156"/>
      <c r="H597" s="156"/>
      <c r="I597" s="156"/>
      <c r="J597" s="157"/>
    </row>
    <row r="598" spans="1:10" ht="12.75" customHeight="1">
      <c r="A598" s="199"/>
      <c r="B598" s="167"/>
      <c r="C598" s="167"/>
      <c r="D598" s="167"/>
      <c r="E598" s="167"/>
      <c r="F598" s="167"/>
      <c r="G598" s="167"/>
      <c r="H598" s="167"/>
      <c r="I598" s="167"/>
      <c r="J598" s="168"/>
    </row>
    <row r="599" spans="1:10" ht="12.75" customHeight="1">
      <c r="A599" s="105"/>
      <c r="B599" s="105"/>
      <c r="C599" s="105"/>
      <c r="D599" s="105"/>
      <c r="E599" s="105"/>
      <c r="F599" s="105"/>
      <c r="G599" s="105"/>
      <c r="H599" s="105"/>
      <c r="I599" s="105"/>
      <c r="J599" s="105"/>
    </row>
    <row r="600" spans="1:10" ht="12.75" customHeight="1">
      <c r="A600" s="207" t="s">
        <v>65</v>
      </c>
      <c r="B600" s="152"/>
      <c r="C600" s="152"/>
      <c r="D600" s="152"/>
      <c r="E600" s="152"/>
      <c r="F600" s="152"/>
      <c r="G600" s="181"/>
      <c r="H600" s="208" t="str">
        <f>'CONTACT INFORMATION'!$A$24</f>
        <v>Humboldt</v>
      </c>
      <c r="I600" s="152"/>
      <c r="J600" s="153"/>
    </row>
    <row r="601" spans="1:10" ht="12.75" customHeight="1">
      <c r="A601" s="66"/>
      <c r="B601" s="66"/>
      <c r="C601" s="66"/>
      <c r="D601" s="66"/>
      <c r="E601" s="66"/>
      <c r="F601" s="66"/>
      <c r="G601" s="66"/>
      <c r="H601" s="66"/>
      <c r="I601" s="66"/>
      <c r="J601" s="66"/>
    </row>
    <row r="602" spans="1:10" ht="12.75" customHeight="1">
      <c r="A602" s="251" t="s">
        <v>207</v>
      </c>
      <c r="B602" s="152"/>
      <c r="C602" s="152"/>
      <c r="D602" s="152"/>
      <c r="E602" s="152"/>
      <c r="F602" s="152"/>
      <c r="G602" s="152"/>
      <c r="H602" s="152"/>
      <c r="I602" s="152"/>
      <c r="J602" s="153"/>
    </row>
    <row r="603" spans="1:10" ht="12.75" customHeight="1">
      <c r="A603" s="252" t="s">
        <v>140</v>
      </c>
      <c r="B603" s="163"/>
      <c r="C603" s="163"/>
      <c r="D603" s="164"/>
      <c r="E603" s="269"/>
      <c r="F603" s="197"/>
      <c r="G603" s="197"/>
      <c r="H603" s="197"/>
      <c r="I603" s="197"/>
      <c r="J603" s="198"/>
    </row>
    <row r="604" spans="1:10" ht="12.75" customHeight="1">
      <c r="A604" s="254" t="s">
        <v>161</v>
      </c>
      <c r="B604" s="149"/>
      <c r="C604" s="149"/>
      <c r="D604" s="150"/>
      <c r="E604" s="199"/>
      <c r="F604" s="167"/>
      <c r="G604" s="167"/>
      <c r="H604" s="167"/>
      <c r="I604" s="167"/>
      <c r="J604" s="168"/>
    </row>
    <row r="605" spans="1:10" ht="12.75" customHeight="1">
      <c r="A605" s="259" t="s">
        <v>208</v>
      </c>
      <c r="B605" s="152"/>
      <c r="C605" s="152"/>
      <c r="D605" s="153"/>
      <c r="E605" s="221"/>
      <c r="F605" s="152"/>
      <c r="G605" s="152"/>
      <c r="H605" s="152"/>
      <c r="I605" s="152"/>
      <c r="J605" s="153"/>
    </row>
    <row r="606" spans="1:10" ht="12.75" customHeight="1">
      <c r="A606" s="53"/>
      <c r="B606" s="55"/>
      <c r="C606" s="55"/>
      <c r="D606" s="55"/>
      <c r="E606" s="255" t="s">
        <v>143</v>
      </c>
      <c r="F606" s="167"/>
      <c r="G606" s="255" t="s">
        <v>144</v>
      </c>
      <c r="H606" s="167"/>
      <c r="I606" s="256" t="s">
        <v>145</v>
      </c>
      <c r="J606" s="168"/>
    </row>
    <row r="607" spans="1:10" ht="12.75" customHeight="1">
      <c r="A607" s="220" t="s">
        <v>146</v>
      </c>
      <c r="B607" s="152"/>
      <c r="C607" s="152"/>
      <c r="D607" s="153"/>
      <c r="E607" s="239"/>
      <c r="F607" s="153"/>
      <c r="G607" s="239"/>
      <c r="H607" s="153"/>
      <c r="I607" s="240"/>
      <c r="J607" s="153"/>
    </row>
    <row r="608" spans="1:10" ht="12.75" customHeight="1">
      <c r="A608" s="241" t="s">
        <v>147</v>
      </c>
      <c r="B608" s="152"/>
      <c r="C608" s="152"/>
      <c r="D608" s="153"/>
      <c r="E608" s="264"/>
      <c r="F608" s="153"/>
      <c r="G608" s="257"/>
      <c r="H608" s="153"/>
      <c r="I608" s="258"/>
      <c r="J608" s="153"/>
    </row>
    <row r="609" spans="1:10" ht="12.75" customHeight="1">
      <c r="A609" s="220" t="s">
        <v>148</v>
      </c>
      <c r="B609" s="152"/>
      <c r="C609" s="152"/>
      <c r="D609" s="153"/>
      <c r="E609" s="239"/>
      <c r="F609" s="153"/>
      <c r="G609" s="239"/>
      <c r="H609" s="153"/>
      <c r="I609" s="240"/>
      <c r="J609" s="153"/>
    </row>
    <row r="610" spans="1:10" ht="12.75" customHeight="1">
      <c r="A610" s="241" t="s">
        <v>149</v>
      </c>
      <c r="B610" s="152"/>
      <c r="C610" s="152"/>
      <c r="D610" s="153"/>
      <c r="E610" s="264"/>
      <c r="F610" s="153"/>
      <c r="G610" s="257"/>
      <c r="H610" s="153"/>
      <c r="I610" s="258"/>
      <c r="J610" s="153"/>
    </row>
    <row r="611" spans="1:10" ht="12.75" customHeight="1">
      <c r="A611" s="220" t="s">
        <v>150</v>
      </c>
      <c r="B611" s="152"/>
      <c r="C611" s="152"/>
      <c r="D611" s="153"/>
      <c r="E611" s="239"/>
      <c r="F611" s="153"/>
      <c r="G611" s="239"/>
      <c r="H611" s="153"/>
      <c r="I611" s="240"/>
      <c r="J611" s="153"/>
    </row>
    <row r="612" spans="1:10" ht="12.75" customHeight="1">
      <c r="A612" s="241" t="s">
        <v>151</v>
      </c>
      <c r="B612" s="152"/>
      <c r="C612" s="152"/>
      <c r="D612" s="153"/>
      <c r="E612" s="264"/>
      <c r="F612" s="153"/>
      <c r="G612" s="257"/>
      <c r="H612" s="153"/>
      <c r="I612" s="258"/>
      <c r="J612" s="153"/>
    </row>
    <row r="613" spans="1:10" ht="12.75" customHeight="1">
      <c r="A613" s="220" t="s">
        <v>152</v>
      </c>
      <c r="B613" s="152"/>
      <c r="C613" s="152"/>
      <c r="D613" s="153"/>
      <c r="E613" s="262"/>
      <c r="F613" s="153"/>
      <c r="G613" s="262"/>
      <c r="H613" s="153"/>
      <c r="I613" s="263"/>
      <c r="J613" s="153"/>
    </row>
    <row r="614" spans="1:10" ht="12.75" customHeight="1">
      <c r="A614" s="265"/>
      <c r="B614" s="152"/>
      <c r="C614" s="152"/>
      <c r="D614" s="153"/>
      <c r="E614" s="264"/>
      <c r="F614" s="153"/>
      <c r="G614" s="257"/>
      <c r="H614" s="153"/>
      <c r="I614" s="257"/>
      <c r="J614" s="153"/>
    </row>
    <row r="615" spans="1:10" ht="12.75" customHeight="1">
      <c r="A615" s="265"/>
      <c r="B615" s="152"/>
      <c r="C615" s="152"/>
      <c r="D615" s="153"/>
      <c r="E615" s="264"/>
      <c r="F615" s="153"/>
      <c r="G615" s="257"/>
      <c r="H615" s="153"/>
      <c r="I615" s="257"/>
      <c r="J615" s="153"/>
    </row>
    <row r="616" spans="1:10" ht="12.75" customHeight="1">
      <c r="A616" s="265"/>
      <c r="B616" s="152"/>
      <c r="C616" s="152"/>
      <c r="D616" s="153"/>
      <c r="E616" s="264"/>
      <c r="F616" s="153"/>
      <c r="G616" s="257"/>
      <c r="H616" s="153"/>
      <c r="I616" s="257"/>
      <c r="J616" s="153"/>
    </row>
    <row r="617" spans="1:10" ht="12.75" customHeight="1">
      <c r="A617" s="222" t="s">
        <v>153</v>
      </c>
      <c r="B617" s="152"/>
      <c r="C617" s="152"/>
      <c r="D617" s="153"/>
      <c r="E617" s="266">
        <f>SUM(E607:E616)</f>
        <v>0</v>
      </c>
      <c r="F617" s="153"/>
      <c r="G617" s="266">
        <f>SUM(G607:G616)</f>
        <v>0</v>
      </c>
      <c r="H617" s="153"/>
      <c r="I617" s="266">
        <f>SUM(I607:I616)</f>
        <v>0</v>
      </c>
      <c r="J617" s="153"/>
    </row>
    <row r="618" spans="1:10" ht="12.75" customHeight="1">
      <c r="A618" s="267" t="s">
        <v>154</v>
      </c>
      <c r="B618" s="163"/>
      <c r="C618" s="163"/>
      <c r="D618" s="163"/>
      <c r="E618" s="163"/>
      <c r="F618" s="163"/>
      <c r="G618" s="163"/>
      <c r="H618" s="163"/>
      <c r="I618" s="163"/>
      <c r="J618" s="164"/>
    </row>
    <row r="619" spans="1:10" ht="12.75" customHeight="1">
      <c r="A619" s="268" t="s">
        <v>155</v>
      </c>
      <c r="B619" s="171"/>
      <c r="C619" s="171"/>
      <c r="D619" s="171"/>
      <c r="E619" s="171"/>
      <c r="F619" s="171"/>
      <c r="G619" s="171"/>
      <c r="H619" s="171"/>
      <c r="I619" s="171"/>
      <c r="J619" s="172"/>
    </row>
    <row r="620" spans="1:10" ht="12.75" customHeight="1">
      <c r="A620" s="268" t="s">
        <v>156</v>
      </c>
      <c r="B620" s="171"/>
      <c r="C620" s="171"/>
      <c r="D620" s="171"/>
      <c r="E620" s="171"/>
      <c r="F620" s="171"/>
      <c r="G620" s="171"/>
      <c r="H620" s="171"/>
      <c r="I620" s="171"/>
      <c r="J620" s="172"/>
    </row>
    <row r="621" spans="1:10" ht="12.75" customHeight="1">
      <c r="A621" s="260" t="s">
        <v>157</v>
      </c>
      <c r="B621" s="149"/>
      <c r="C621" s="149"/>
      <c r="D621" s="149"/>
      <c r="E621" s="149"/>
      <c r="F621" s="149"/>
      <c r="G621" s="149"/>
      <c r="H621" s="149"/>
      <c r="I621" s="149"/>
      <c r="J621" s="150"/>
    </row>
    <row r="622" spans="1:10" ht="12.75" customHeight="1">
      <c r="A622" s="261"/>
      <c r="B622" s="197"/>
      <c r="C622" s="197"/>
      <c r="D622" s="197"/>
      <c r="E622" s="197"/>
      <c r="F622" s="197"/>
      <c r="G622" s="197"/>
      <c r="H622" s="197"/>
      <c r="I622" s="197"/>
      <c r="J622" s="198"/>
    </row>
    <row r="623" spans="1:10" ht="12.75" customHeight="1">
      <c r="A623" s="158"/>
      <c r="B623" s="156"/>
      <c r="C623" s="156"/>
      <c r="D623" s="156"/>
      <c r="E623" s="156"/>
      <c r="F623" s="156"/>
      <c r="G623" s="156"/>
      <c r="H623" s="156"/>
      <c r="I623" s="156"/>
      <c r="J623" s="157"/>
    </row>
    <row r="624" spans="1:10" ht="12.75" customHeight="1">
      <c r="A624" s="158"/>
      <c r="B624" s="156"/>
      <c r="C624" s="156"/>
      <c r="D624" s="156"/>
      <c r="E624" s="156"/>
      <c r="F624" s="156"/>
      <c r="G624" s="156"/>
      <c r="H624" s="156"/>
      <c r="I624" s="156"/>
      <c r="J624" s="157"/>
    </row>
    <row r="625" spans="1:10" ht="12.75" customHeight="1">
      <c r="A625" s="158"/>
      <c r="B625" s="156"/>
      <c r="C625" s="156"/>
      <c r="D625" s="156"/>
      <c r="E625" s="156"/>
      <c r="F625" s="156"/>
      <c r="G625" s="156"/>
      <c r="H625" s="156"/>
      <c r="I625" s="156"/>
      <c r="J625" s="157"/>
    </row>
    <row r="626" spans="1:10" ht="12.75" customHeight="1">
      <c r="A626" s="158"/>
      <c r="B626" s="156"/>
      <c r="C626" s="156"/>
      <c r="D626" s="156"/>
      <c r="E626" s="156"/>
      <c r="F626" s="156"/>
      <c r="G626" s="156"/>
      <c r="H626" s="156"/>
      <c r="I626" s="156"/>
      <c r="J626" s="157"/>
    </row>
    <row r="627" spans="1:10" ht="12.75" customHeight="1">
      <c r="A627" s="158"/>
      <c r="B627" s="156"/>
      <c r="C627" s="156"/>
      <c r="D627" s="156"/>
      <c r="E627" s="156"/>
      <c r="F627" s="156"/>
      <c r="G627" s="156"/>
      <c r="H627" s="156"/>
      <c r="I627" s="156"/>
      <c r="J627" s="157"/>
    </row>
    <row r="628" spans="1:10" ht="12.75" customHeight="1">
      <c r="A628" s="158"/>
      <c r="B628" s="156"/>
      <c r="C628" s="156"/>
      <c r="D628" s="156"/>
      <c r="E628" s="156"/>
      <c r="F628" s="156"/>
      <c r="G628" s="156"/>
      <c r="H628" s="156"/>
      <c r="I628" s="156"/>
      <c r="J628" s="157"/>
    </row>
    <row r="629" spans="1:10" ht="12.75" customHeight="1">
      <c r="A629" s="158"/>
      <c r="B629" s="156"/>
      <c r="C629" s="156"/>
      <c r="D629" s="156"/>
      <c r="E629" s="156"/>
      <c r="F629" s="156"/>
      <c r="G629" s="156"/>
      <c r="H629" s="156"/>
      <c r="I629" s="156"/>
      <c r="J629" s="157"/>
    </row>
    <row r="630" spans="1:10" ht="12.75" customHeight="1">
      <c r="A630" s="158"/>
      <c r="B630" s="156"/>
      <c r="C630" s="156"/>
      <c r="D630" s="156"/>
      <c r="E630" s="156"/>
      <c r="F630" s="156"/>
      <c r="G630" s="156"/>
      <c r="H630" s="156"/>
      <c r="I630" s="156"/>
      <c r="J630" s="157"/>
    </row>
    <row r="631" spans="1:10" ht="12.75" customHeight="1">
      <c r="A631" s="158"/>
      <c r="B631" s="156"/>
      <c r="C631" s="156"/>
      <c r="D631" s="156"/>
      <c r="E631" s="156"/>
      <c r="F631" s="156"/>
      <c r="G631" s="156"/>
      <c r="H631" s="156"/>
      <c r="I631" s="156"/>
      <c r="J631" s="157"/>
    </row>
    <row r="632" spans="1:10" ht="12.75" customHeight="1">
      <c r="A632" s="158"/>
      <c r="B632" s="156"/>
      <c r="C632" s="156"/>
      <c r="D632" s="156"/>
      <c r="E632" s="156"/>
      <c r="F632" s="156"/>
      <c r="G632" s="156"/>
      <c r="H632" s="156"/>
      <c r="I632" s="156"/>
      <c r="J632" s="157"/>
    </row>
    <row r="633" spans="1:10" ht="12.75" customHeight="1">
      <c r="A633" s="158"/>
      <c r="B633" s="156"/>
      <c r="C633" s="156"/>
      <c r="D633" s="156"/>
      <c r="E633" s="156"/>
      <c r="F633" s="156"/>
      <c r="G633" s="156"/>
      <c r="H633" s="156"/>
      <c r="I633" s="156"/>
      <c r="J633" s="157"/>
    </row>
    <row r="634" spans="1:10" ht="12.75" customHeight="1">
      <c r="A634" s="158"/>
      <c r="B634" s="156"/>
      <c r="C634" s="156"/>
      <c r="D634" s="156"/>
      <c r="E634" s="156"/>
      <c r="F634" s="156"/>
      <c r="G634" s="156"/>
      <c r="H634" s="156"/>
      <c r="I634" s="156"/>
      <c r="J634" s="157"/>
    </row>
    <row r="635" spans="1:10" ht="12.75" customHeight="1">
      <c r="A635" s="158"/>
      <c r="B635" s="156"/>
      <c r="C635" s="156"/>
      <c r="D635" s="156"/>
      <c r="E635" s="156"/>
      <c r="F635" s="156"/>
      <c r="G635" s="156"/>
      <c r="H635" s="156"/>
      <c r="I635" s="156"/>
      <c r="J635" s="157"/>
    </row>
    <row r="636" spans="1:10" ht="12.75" customHeight="1">
      <c r="A636" s="158"/>
      <c r="B636" s="156"/>
      <c r="C636" s="156"/>
      <c r="D636" s="156"/>
      <c r="E636" s="156"/>
      <c r="F636" s="156"/>
      <c r="G636" s="156"/>
      <c r="H636" s="156"/>
      <c r="I636" s="156"/>
      <c r="J636" s="157"/>
    </row>
    <row r="637" spans="1:10" ht="12.75" customHeight="1">
      <c r="A637" s="158"/>
      <c r="B637" s="156"/>
      <c r="C637" s="156"/>
      <c r="D637" s="156"/>
      <c r="E637" s="156"/>
      <c r="F637" s="156"/>
      <c r="G637" s="156"/>
      <c r="H637" s="156"/>
      <c r="I637" s="156"/>
      <c r="J637" s="157"/>
    </row>
    <row r="638" spans="1:10" ht="12.75" customHeight="1">
      <c r="A638" s="158"/>
      <c r="B638" s="156"/>
      <c r="C638" s="156"/>
      <c r="D638" s="156"/>
      <c r="E638" s="156"/>
      <c r="F638" s="156"/>
      <c r="G638" s="156"/>
      <c r="H638" s="156"/>
      <c r="I638" s="156"/>
      <c r="J638" s="157"/>
    </row>
    <row r="639" spans="1:10" ht="12.75" customHeight="1">
      <c r="A639" s="158"/>
      <c r="B639" s="156"/>
      <c r="C639" s="156"/>
      <c r="D639" s="156"/>
      <c r="E639" s="156"/>
      <c r="F639" s="156"/>
      <c r="G639" s="156"/>
      <c r="H639" s="156"/>
      <c r="I639" s="156"/>
      <c r="J639" s="157"/>
    </row>
    <row r="640" spans="1:10" ht="12.75" customHeight="1">
      <c r="A640" s="158"/>
      <c r="B640" s="156"/>
      <c r="C640" s="156"/>
      <c r="D640" s="156"/>
      <c r="E640" s="156"/>
      <c r="F640" s="156"/>
      <c r="G640" s="156"/>
      <c r="H640" s="156"/>
      <c r="I640" s="156"/>
      <c r="J640" s="157"/>
    </row>
    <row r="641" spans="1:10" ht="12.75" customHeight="1">
      <c r="A641" s="158"/>
      <c r="B641" s="156"/>
      <c r="C641" s="156"/>
      <c r="D641" s="156"/>
      <c r="E641" s="156"/>
      <c r="F641" s="156"/>
      <c r="G641" s="156"/>
      <c r="H641" s="156"/>
      <c r="I641" s="156"/>
      <c r="J641" s="157"/>
    </row>
    <row r="642" spans="1:10" ht="12.75" customHeight="1">
      <c r="A642" s="158"/>
      <c r="B642" s="156"/>
      <c r="C642" s="156"/>
      <c r="D642" s="156"/>
      <c r="E642" s="156"/>
      <c r="F642" s="156"/>
      <c r="G642" s="156"/>
      <c r="H642" s="156"/>
      <c r="I642" s="156"/>
      <c r="J642" s="157"/>
    </row>
    <row r="643" spans="1:10" ht="12.75" customHeight="1">
      <c r="A643" s="158"/>
      <c r="B643" s="156"/>
      <c r="C643" s="156"/>
      <c r="D643" s="156"/>
      <c r="E643" s="156"/>
      <c r="F643" s="156"/>
      <c r="G643" s="156"/>
      <c r="H643" s="156"/>
      <c r="I643" s="156"/>
      <c r="J643" s="157"/>
    </row>
    <row r="644" spans="1:10" ht="12.75" customHeight="1">
      <c r="A644" s="158"/>
      <c r="B644" s="156"/>
      <c r="C644" s="156"/>
      <c r="D644" s="156"/>
      <c r="E644" s="156"/>
      <c r="F644" s="156"/>
      <c r="G644" s="156"/>
      <c r="H644" s="156"/>
      <c r="I644" s="156"/>
      <c r="J644" s="157"/>
    </row>
    <row r="645" spans="1:10" ht="12.75" customHeight="1">
      <c r="A645" s="158"/>
      <c r="B645" s="156"/>
      <c r="C645" s="156"/>
      <c r="D645" s="156"/>
      <c r="E645" s="156"/>
      <c r="F645" s="156"/>
      <c r="G645" s="156"/>
      <c r="H645" s="156"/>
      <c r="I645" s="156"/>
      <c r="J645" s="157"/>
    </row>
    <row r="646" spans="1:10" ht="12.75" customHeight="1">
      <c r="A646" s="158"/>
      <c r="B646" s="156"/>
      <c r="C646" s="156"/>
      <c r="D646" s="156"/>
      <c r="E646" s="156"/>
      <c r="F646" s="156"/>
      <c r="G646" s="156"/>
      <c r="H646" s="156"/>
      <c r="I646" s="156"/>
      <c r="J646" s="157"/>
    </row>
    <row r="647" spans="1:10" ht="12.75" customHeight="1">
      <c r="A647" s="158"/>
      <c r="B647" s="156"/>
      <c r="C647" s="156"/>
      <c r="D647" s="156"/>
      <c r="E647" s="156"/>
      <c r="F647" s="156"/>
      <c r="G647" s="156"/>
      <c r="H647" s="156"/>
      <c r="I647" s="156"/>
      <c r="J647" s="157"/>
    </row>
    <row r="648" spans="1:10" ht="12.75" customHeight="1">
      <c r="A648" s="158"/>
      <c r="B648" s="156"/>
      <c r="C648" s="156"/>
      <c r="D648" s="156"/>
      <c r="E648" s="156"/>
      <c r="F648" s="156"/>
      <c r="G648" s="156"/>
      <c r="H648" s="156"/>
      <c r="I648" s="156"/>
      <c r="J648" s="157"/>
    </row>
    <row r="649" spans="1:10" ht="12.75" customHeight="1">
      <c r="A649" s="158"/>
      <c r="B649" s="156"/>
      <c r="C649" s="156"/>
      <c r="D649" s="156"/>
      <c r="E649" s="156"/>
      <c r="F649" s="156"/>
      <c r="G649" s="156"/>
      <c r="H649" s="156"/>
      <c r="I649" s="156"/>
      <c r="J649" s="157"/>
    </row>
    <row r="650" spans="1:10" ht="12.75" customHeight="1">
      <c r="A650" s="158"/>
      <c r="B650" s="156"/>
      <c r="C650" s="156"/>
      <c r="D650" s="156"/>
      <c r="E650" s="156"/>
      <c r="F650" s="156"/>
      <c r="G650" s="156"/>
      <c r="H650" s="156"/>
      <c r="I650" s="156"/>
      <c r="J650" s="157"/>
    </row>
    <row r="651" spans="1:10" ht="12.75" customHeight="1">
      <c r="A651" s="158"/>
      <c r="B651" s="156"/>
      <c r="C651" s="156"/>
      <c r="D651" s="156"/>
      <c r="E651" s="156"/>
      <c r="F651" s="156"/>
      <c r="G651" s="156"/>
      <c r="H651" s="156"/>
      <c r="I651" s="156"/>
      <c r="J651" s="157"/>
    </row>
    <row r="652" spans="1:10" ht="12.75" customHeight="1">
      <c r="A652" s="199"/>
      <c r="B652" s="167"/>
      <c r="C652" s="167"/>
      <c r="D652" s="167"/>
      <c r="E652" s="167"/>
      <c r="F652" s="167"/>
      <c r="G652" s="167"/>
      <c r="H652" s="167"/>
      <c r="I652" s="167"/>
      <c r="J652" s="168"/>
    </row>
    <row r="653" spans="1:10" ht="12.75" customHeight="1">
      <c r="A653" s="105"/>
      <c r="B653" s="105"/>
      <c r="C653" s="105"/>
      <c r="D653" s="105"/>
      <c r="E653" s="105"/>
      <c r="F653" s="105"/>
      <c r="G653" s="105"/>
      <c r="H653" s="105"/>
      <c r="I653" s="105"/>
      <c r="J653" s="105"/>
    </row>
    <row r="654" spans="1:10" ht="12.75" customHeight="1">
      <c r="A654" s="207" t="s">
        <v>65</v>
      </c>
      <c r="B654" s="152"/>
      <c r="C654" s="152"/>
      <c r="D654" s="152"/>
      <c r="E654" s="152"/>
      <c r="F654" s="152"/>
      <c r="G654" s="181"/>
      <c r="H654" s="208" t="str">
        <f>'CONTACT INFORMATION'!$A$24</f>
        <v>Humboldt</v>
      </c>
      <c r="I654" s="152"/>
      <c r="J654" s="153"/>
    </row>
    <row r="655" spans="1:10" ht="12.75" customHeight="1">
      <c r="A655" s="66"/>
      <c r="B655" s="66"/>
      <c r="C655" s="66"/>
      <c r="D655" s="66"/>
      <c r="E655" s="66"/>
      <c r="F655" s="66"/>
      <c r="G655" s="66"/>
      <c r="H655" s="66"/>
      <c r="I655" s="66"/>
      <c r="J655" s="66"/>
    </row>
    <row r="656" spans="1:10" ht="12.75" customHeight="1">
      <c r="A656" s="251" t="s">
        <v>209</v>
      </c>
      <c r="B656" s="152"/>
      <c r="C656" s="152"/>
      <c r="D656" s="152"/>
      <c r="E656" s="152"/>
      <c r="F656" s="152"/>
      <c r="G656" s="152"/>
      <c r="H656" s="152"/>
      <c r="I656" s="152"/>
      <c r="J656" s="153"/>
    </row>
    <row r="657" spans="1:10" ht="12.75" customHeight="1">
      <c r="A657" s="252" t="s">
        <v>140</v>
      </c>
      <c r="B657" s="163"/>
      <c r="C657" s="163"/>
      <c r="D657" s="164"/>
      <c r="E657" s="269"/>
      <c r="F657" s="197"/>
      <c r="G657" s="197"/>
      <c r="H657" s="197"/>
      <c r="I657" s="197"/>
      <c r="J657" s="198"/>
    </row>
    <row r="658" spans="1:10" ht="12.75" customHeight="1">
      <c r="A658" s="254" t="s">
        <v>161</v>
      </c>
      <c r="B658" s="149"/>
      <c r="C658" s="149"/>
      <c r="D658" s="150"/>
      <c r="E658" s="199"/>
      <c r="F658" s="167"/>
      <c r="G658" s="167"/>
      <c r="H658" s="167"/>
      <c r="I658" s="167"/>
      <c r="J658" s="168"/>
    </row>
    <row r="659" spans="1:10" ht="12.75" customHeight="1">
      <c r="A659" s="259" t="s">
        <v>210</v>
      </c>
      <c r="B659" s="152"/>
      <c r="C659" s="152"/>
      <c r="D659" s="153"/>
      <c r="E659" s="221"/>
      <c r="F659" s="152"/>
      <c r="G659" s="152"/>
      <c r="H659" s="152"/>
      <c r="I659" s="152"/>
      <c r="J659" s="153"/>
    </row>
    <row r="660" spans="1:10" ht="12.75" customHeight="1">
      <c r="A660" s="53"/>
      <c r="B660" s="55"/>
      <c r="C660" s="55"/>
      <c r="D660" s="55"/>
      <c r="E660" s="255" t="s">
        <v>143</v>
      </c>
      <c r="F660" s="167"/>
      <c r="G660" s="255" t="s">
        <v>144</v>
      </c>
      <c r="H660" s="167"/>
      <c r="I660" s="256" t="s">
        <v>145</v>
      </c>
      <c r="J660" s="168"/>
    </row>
    <row r="661" spans="1:10" ht="12.75" customHeight="1">
      <c r="A661" s="220" t="s">
        <v>146</v>
      </c>
      <c r="B661" s="152"/>
      <c r="C661" s="152"/>
      <c r="D661" s="153"/>
      <c r="E661" s="239"/>
      <c r="F661" s="153"/>
      <c r="G661" s="239"/>
      <c r="H661" s="153"/>
      <c r="I661" s="240"/>
      <c r="J661" s="153"/>
    </row>
    <row r="662" spans="1:10" ht="12.75" customHeight="1">
      <c r="A662" s="241" t="s">
        <v>147</v>
      </c>
      <c r="B662" s="152"/>
      <c r="C662" s="152"/>
      <c r="D662" s="153"/>
      <c r="E662" s="264"/>
      <c r="F662" s="153"/>
      <c r="G662" s="257"/>
      <c r="H662" s="153"/>
      <c r="I662" s="258"/>
      <c r="J662" s="153"/>
    </row>
    <row r="663" spans="1:10" ht="12.75" customHeight="1">
      <c r="A663" s="220" t="s">
        <v>148</v>
      </c>
      <c r="B663" s="152"/>
      <c r="C663" s="152"/>
      <c r="D663" s="153"/>
      <c r="E663" s="239"/>
      <c r="F663" s="153"/>
      <c r="G663" s="239"/>
      <c r="H663" s="153"/>
      <c r="I663" s="240"/>
      <c r="J663" s="153"/>
    </row>
    <row r="664" spans="1:10" ht="12.75" customHeight="1">
      <c r="A664" s="241" t="s">
        <v>149</v>
      </c>
      <c r="B664" s="152"/>
      <c r="C664" s="152"/>
      <c r="D664" s="153"/>
      <c r="E664" s="264"/>
      <c r="F664" s="153"/>
      <c r="G664" s="257"/>
      <c r="H664" s="153"/>
      <c r="I664" s="258"/>
      <c r="J664" s="153"/>
    </row>
    <row r="665" spans="1:10" ht="12.75" customHeight="1">
      <c r="A665" s="220" t="s">
        <v>150</v>
      </c>
      <c r="B665" s="152"/>
      <c r="C665" s="152"/>
      <c r="D665" s="153"/>
      <c r="E665" s="239"/>
      <c r="F665" s="153"/>
      <c r="G665" s="239"/>
      <c r="H665" s="153"/>
      <c r="I665" s="240"/>
      <c r="J665" s="153"/>
    </row>
    <row r="666" spans="1:10" ht="12.75" customHeight="1">
      <c r="A666" s="241" t="s">
        <v>151</v>
      </c>
      <c r="B666" s="152"/>
      <c r="C666" s="152"/>
      <c r="D666" s="153"/>
      <c r="E666" s="264"/>
      <c r="F666" s="153"/>
      <c r="G666" s="257"/>
      <c r="H666" s="153"/>
      <c r="I666" s="258"/>
      <c r="J666" s="153"/>
    </row>
    <row r="667" spans="1:10" ht="12.75" customHeight="1">
      <c r="A667" s="220" t="s">
        <v>152</v>
      </c>
      <c r="B667" s="152"/>
      <c r="C667" s="152"/>
      <c r="D667" s="153"/>
      <c r="E667" s="262"/>
      <c r="F667" s="153"/>
      <c r="G667" s="262"/>
      <c r="H667" s="153"/>
      <c r="I667" s="263"/>
      <c r="J667" s="153"/>
    </row>
    <row r="668" spans="1:10" ht="12.75" customHeight="1">
      <c r="A668" s="265"/>
      <c r="B668" s="152"/>
      <c r="C668" s="152"/>
      <c r="D668" s="153"/>
      <c r="E668" s="264"/>
      <c r="F668" s="153"/>
      <c r="G668" s="257"/>
      <c r="H668" s="153"/>
      <c r="I668" s="257"/>
      <c r="J668" s="153"/>
    </row>
    <row r="669" spans="1:10" ht="12.75" customHeight="1">
      <c r="A669" s="265"/>
      <c r="B669" s="152"/>
      <c r="C669" s="152"/>
      <c r="D669" s="153"/>
      <c r="E669" s="264"/>
      <c r="F669" s="153"/>
      <c r="G669" s="257"/>
      <c r="H669" s="153"/>
      <c r="I669" s="257"/>
      <c r="J669" s="153"/>
    </row>
    <row r="670" spans="1:10" ht="12.75" customHeight="1">
      <c r="A670" s="265"/>
      <c r="B670" s="152"/>
      <c r="C670" s="152"/>
      <c r="D670" s="153"/>
      <c r="E670" s="264"/>
      <c r="F670" s="153"/>
      <c r="G670" s="257"/>
      <c r="H670" s="153"/>
      <c r="I670" s="257"/>
      <c r="J670" s="153"/>
    </row>
    <row r="671" spans="1:10" ht="12.75" customHeight="1">
      <c r="A671" s="222" t="s">
        <v>153</v>
      </c>
      <c r="B671" s="152"/>
      <c r="C671" s="152"/>
      <c r="D671" s="153"/>
      <c r="E671" s="266">
        <f>SUM(E661:E670)</f>
        <v>0</v>
      </c>
      <c r="F671" s="153"/>
      <c r="G671" s="266">
        <f>SUM(G661:G670)</f>
        <v>0</v>
      </c>
      <c r="H671" s="153"/>
      <c r="I671" s="266">
        <f>SUM(I661:I670)</f>
        <v>0</v>
      </c>
      <c r="J671" s="153"/>
    </row>
    <row r="672" spans="1:10" ht="12.75" customHeight="1">
      <c r="A672" s="267" t="s">
        <v>154</v>
      </c>
      <c r="B672" s="163"/>
      <c r="C672" s="163"/>
      <c r="D672" s="163"/>
      <c r="E672" s="163"/>
      <c r="F672" s="163"/>
      <c r="G672" s="163"/>
      <c r="H672" s="163"/>
      <c r="I672" s="163"/>
      <c r="J672" s="164"/>
    </row>
    <row r="673" spans="1:10" ht="12.75" customHeight="1">
      <c r="A673" s="268" t="s">
        <v>155</v>
      </c>
      <c r="B673" s="171"/>
      <c r="C673" s="171"/>
      <c r="D673" s="171"/>
      <c r="E673" s="171"/>
      <c r="F673" s="171"/>
      <c r="G673" s="171"/>
      <c r="H673" s="171"/>
      <c r="I673" s="171"/>
      <c r="J673" s="172"/>
    </row>
    <row r="674" spans="1:10" ht="12.75" customHeight="1">
      <c r="A674" s="268" t="s">
        <v>156</v>
      </c>
      <c r="B674" s="171"/>
      <c r="C674" s="171"/>
      <c r="D674" s="171"/>
      <c r="E674" s="171"/>
      <c r="F674" s="171"/>
      <c r="G674" s="171"/>
      <c r="H674" s="171"/>
      <c r="I674" s="171"/>
      <c r="J674" s="172"/>
    </row>
    <row r="675" spans="1:10" ht="12.75" customHeight="1">
      <c r="A675" s="260" t="s">
        <v>157</v>
      </c>
      <c r="B675" s="149"/>
      <c r="C675" s="149"/>
      <c r="D675" s="149"/>
      <c r="E675" s="149"/>
      <c r="F675" s="149"/>
      <c r="G675" s="149"/>
      <c r="H675" s="149"/>
      <c r="I675" s="149"/>
      <c r="J675" s="150"/>
    </row>
    <row r="676" spans="1:10" ht="12.75" customHeight="1">
      <c r="A676" s="261"/>
      <c r="B676" s="197"/>
      <c r="C676" s="197"/>
      <c r="D676" s="197"/>
      <c r="E676" s="197"/>
      <c r="F676" s="197"/>
      <c r="G676" s="197"/>
      <c r="H676" s="197"/>
      <c r="I676" s="197"/>
      <c r="J676" s="198"/>
    </row>
    <row r="677" spans="1:10" ht="12.75" customHeight="1">
      <c r="A677" s="158"/>
      <c r="B677" s="156"/>
      <c r="C677" s="156"/>
      <c r="D677" s="156"/>
      <c r="E677" s="156"/>
      <c r="F677" s="156"/>
      <c r="G677" s="156"/>
      <c r="H677" s="156"/>
      <c r="I677" s="156"/>
      <c r="J677" s="157"/>
    </row>
    <row r="678" spans="1:10" ht="12.75" customHeight="1">
      <c r="A678" s="158"/>
      <c r="B678" s="156"/>
      <c r="C678" s="156"/>
      <c r="D678" s="156"/>
      <c r="E678" s="156"/>
      <c r="F678" s="156"/>
      <c r="G678" s="156"/>
      <c r="H678" s="156"/>
      <c r="I678" s="156"/>
      <c r="J678" s="157"/>
    </row>
    <row r="679" spans="1:10" ht="12.75" customHeight="1">
      <c r="A679" s="158"/>
      <c r="B679" s="156"/>
      <c r="C679" s="156"/>
      <c r="D679" s="156"/>
      <c r="E679" s="156"/>
      <c r="F679" s="156"/>
      <c r="G679" s="156"/>
      <c r="H679" s="156"/>
      <c r="I679" s="156"/>
      <c r="J679" s="157"/>
    </row>
    <row r="680" spans="1:10" ht="12.75" customHeight="1">
      <c r="A680" s="158"/>
      <c r="B680" s="156"/>
      <c r="C680" s="156"/>
      <c r="D680" s="156"/>
      <c r="E680" s="156"/>
      <c r="F680" s="156"/>
      <c r="G680" s="156"/>
      <c r="H680" s="156"/>
      <c r="I680" s="156"/>
      <c r="J680" s="157"/>
    </row>
    <row r="681" spans="1:10" ht="12.75" customHeight="1">
      <c r="A681" s="158"/>
      <c r="B681" s="156"/>
      <c r="C681" s="156"/>
      <c r="D681" s="156"/>
      <c r="E681" s="156"/>
      <c r="F681" s="156"/>
      <c r="G681" s="156"/>
      <c r="H681" s="156"/>
      <c r="I681" s="156"/>
      <c r="J681" s="157"/>
    </row>
    <row r="682" spans="1:10" ht="12.75" customHeight="1">
      <c r="A682" s="158"/>
      <c r="B682" s="156"/>
      <c r="C682" s="156"/>
      <c r="D682" s="156"/>
      <c r="E682" s="156"/>
      <c r="F682" s="156"/>
      <c r="G682" s="156"/>
      <c r="H682" s="156"/>
      <c r="I682" s="156"/>
      <c r="J682" s="157"/>
    </row>
    <row r="683" spans="1:10" ht="12.75" customHeight="1">
      <c r="A683" s="158"/>
      <c r="B683" s="156"/>
      <c r="C683" s="156"/>
      <c r="D683" s="156"/>
      <c r="E683" s="156"/>
      <c r="F683" s="156"/>
      <c r="G683" s="156"/>
      <c r="H683" s="156"/>
      <c r="I683" s="156"/>
      <c r="J683" s="157"/>
    </row>
    <row r="684" spans="1:10" ht="12.75" customHeight="1">
      <c r="A684" s="158"/>
      <c r="B684" s="156"/>
      <c r="C684" s="156"/>
      <c r="D684" s="156"/>
      <c r="E684" s="156"/>
      <c r="F684" s="156"/>
      <c r="G684" s="156"/>
      <c r="H684" s="156"/>
      <c r="I684" s="156"/>
      <c r="J684" s="157"/>
    </row>
    <row r="685" spans="1:10" ht="12.75" customHeight="1">
      <c r="A685" s="158"/>
      <c r="B685" s="156"/>
      <c r="C685" s="156"/>
      <c r="D685" s="156"/>
      <c r="E685" s="156"/>
      <c r="F685" s="156"/>
      <c r="G685" s="156"/>
      <c r="H685" s="156"/>
      <c r="I685" s="156"/>
      <c r="J685" s="157"/>
    </row>
    <row r="686" spans="1:10" ht="12.75" customHeight="1">
      <c r="A686" s="158"/>
      <c r="B686" s="156"/>
      <c r="C686" s="156"/>
      <c r="D686" s="156"/>
      <c r="E686" s="156"/>
      <c r="F686" s="156"/>
      <c r="G686" s="156"/>
      <c r="H686" s="156"/>
      <c r="I686" s="156"/>
      <c r="J686" s="157"/>
    </row>
    <row r="687" spans="1:10" ht="12.75" customHeight="1">
      <c r="A687" s="158"/>
      <c r="B687" s="156"/>
      <c r="C687" s="156"/>
      <c r="D687" s="156"/>
      <c r="E687" s="156"/>
      <c r="F687" s="156"/>
      <c r="G687" s="156"/>
      <c r="H687" s="156"/>
      <c r="I687" s="156"/>
      <c r="J687" s="157"/>
    </row>
    <row r="688" spans="1:10" ht="12.75" customHeight="1">
      <c r="A688" s="158"/>
      <c r="B688" s="156"/>
      <c r="C688" s="156"/>
      <c r="D688" s="156"/>
      <c r="E688" s="156"/>
      <c r="F688" s="156"/>
      <c r="G688" s="156"/>
      <c r="H688" s="156"/>
      <c r="I688" s="156"/>
      <c r="J688" s="157"/>
    </row>
    <row r="689" spans="1:10" ht="12.75" customHeight="1">
      <c r="A689" s="158"/>
      <c r="B689" s="156"/>
      <c r="C689" s="156"/>
      <c r="D689" s="156"/>
      <c r="E689" s="156"/>
      <c r="F689" s="156"/>
      <c r="G689" s="156"/>
      <c r="H689" s="156"/>
      <c r="I689" s="156"/>
      <c r="J689" s="157"/>
    </row>
    <row r="690" spans="1:10" ht="12.75" customHeight="1">
      <c r="A690" s="158"/>
      <c r="B690" s="156"/>
      <c r="C690" s="156"/>
      <c r="D690" s="156"/>
      <c r="E690" s="156"/>
      <c r="F690" s="156"/>
      <c r="G690" s="156"/>
      <c r="H690" s="156"/>
      <c r="I690" s="156"/>
      <c r="J690" s="157"/>
    </row>
    <row r="691" spans="1:10" ht="12.75" customHeight="1">
      <c r="A691" s="158"/>
      <c r="B691" s="156"/>
      <c r="C691" s="156"/>
      <c r="D691" s="156"/>
      <c r="E691" s="156"/>
      <c r="F691" s="156"/>
      <c r="G691" s="156"/>
      <c r="H691" s="156"/>
      <c r="I691" s="156"/>
      <c r="J691" s="157"/>
    </row>
    <row r="692" spans="1:10" ht="12.75" customHeight="1">
      <c r="A692" s="158"/>
      <c r="B692" s="156"/>
      <c r="C692" s="156"/>
      <c r="D692" s="156"/>
      <c r="E692" s="156"/>
      <c r="F692" s="156"/>
      <c r="G692" s="156"/>
      <c r="H692" s="156"/>
      <c r="I692" s="156"/>
      <c r="J692" s="157"/>
    </row>
    <row r="693" spans="1:10" ht="12.75" customHeight="1">
      <c r="A693" s="158"/>
      <c r="B693" s="156"/>
      <c r="C693" s="156"/>
      <c r="D693" s="156"/>
      <c r="E693" s="156"/>
      <c r="F693" s="156"/>
      <c r="G693" s="156"/>
      <c r="H693" s="156"/>
      <c r="I693" s="156"/>
      <c r="J693" s="157"/>
    </row>
    <row r="694" spans="1:10" ht="12.75" customHeight="1">
      <c r="A694" s="158"/>
      <c r="B694" s="156"/>
      <c r="C694" s="156"/>
      <c r="D694" s="156"/>
      <c r="E694" s="156"/>
      <c r="F694" s="156"/>
      <c r="G694" s="156"/>
      <c r="H694" s="156"/>
      <c r="I694" s="156"/>
      <c r="J694" s="157"/>
    </row>
    <row r="695" spans="1:10" ht="12.75" customHeight="1">
      <c r="A695" s="158"/>
      <c r="B695" s="156"/>
      <c r="C695" s="156"/>
      <c r="D695" s="156"/>
      <c r="E695" s="156"/>
      <c r="F695" s="156"/>
      <c r="G695" s="156"/>
      <c r="H695" s="156"/>
      <c r="I695" s="156"/>
      <c r="J695" s="157"/>
    </row>
    <row r="696" spans="1:10" ht="12.75" customHeight="1">
      <c r="A696" s="158"/>
      <c r="B696" s="156"/>
      <c r="C696" s="156"/>
      <c r="D696" s="156"/>
      <c r="E696" s="156"/>
      <c r="F696" s="156"/>
      <c r="G696" s="156"/>
      <c r="H696" s="156"/>
      <c r="I696" s="156"/>
      <c r="J696" s="157"/>
    </row>
    <row r="697" spans="1:10" ht="12.75" customHeight="1">
      <c r="A697" s="158"/>
      <c r="B697" s="156"/>
      <c r="C697" s="156"/>
      <c r="D697" s="156"/>
      <c r="E697" s="156"/>
      <c r="F697" s="156"/>
      <c r="G697" s="156"/>
      <c r="H697" s="156"/>
      <c r="I697" s="156"/>
      <c r="J697" s="157"/>
    </row>
    <row r="698" spans="1:10" ht="12.75" customHeight="1">
      <c r="A698" s="158"/>
      <c r="B698" s="156"/>
      <c r="C698" s="156"/>
      <c r="D698" s="156"/>
      <c r="E698" s="156"/>
      <c r="F698" s="156"/>
      <c r="G698" s="156"/>
      <c r="H698" s="156"/>
      <c r="I698" s="156"/>
      <c r="J698" s="157"/>
    </row>
    <row r="699" spans="1:10" ht="12.75" customHeight="1">
      <c r="A699" s="158"/>
      <c r="B699" s="156"/>
      <c r="C699" s="156"/>
      <c r="D699" s="156"/>
      <c r="E699" s="156"/>
      <c r="F699" s="156"/>
      <c r="G699" s="156"/>
      <c r="H699" s="156"/>
      <c r="I699" s="156"/>
      <c r="J699" s="157"/>
    </row>
    <row r="700" spans="1:10" ht="12.75" customHeight="1">
      <c r="A700" s="158"/>
      <c r="B700" s="156"/>
      <c r="C700" s="156"/>
      <c r="D700" s="156"/>
      <c r="E700" s="156"/>
      <c r="F700" s="156"/>
      <c r="G700" s="156"/>
      <c r="H700" s="156"/>
      <c r="I700" s="156"/>
      <c r="J700" s="157"/>
    </row>
    <row r="701" spans="1:10" ht="12.75" customHeight="1">
      <c r="A701" s="158"/>
      <c r="B701" s="156"/>
      <c r="C701" s="156"/>
      <c r="D701" s="156"/>
      <c r="E701" s="156"/>
      <c r="F701" s="156"/>
      <c r="G701" s="156"/>
      <c r="H701" s="156"/>
      <c r="I701" s="156"/>
      <c r="J701" s="157"/>
    </row>
    <row r="702" spans="1:10" ht="12.75" customHeight="1">
      <c r="A702" s="158"/>
      <c r="B702" s="156"/>
      <c r="C702" s="156"/>
      <c r="D702" s="156"/>
      <c r="E702" s="156"/>
      <c r="F702" s="156"/>
      <c r="G702" s="156"/>
      <c r="H702" s="156"/>
      <c r="I702" s="156"/>
      <c r="J702" s="157"/>
    </row>
    <row r="703" spans="1:10" ht="12.75" customHeight="1">
      <c r="A703" s="158"/>
      <c r="B703" s="156"/>
      <c r="C703" s="156"/>
      <c r="D703" s="156"/>
      <c r="E703" s="156"/>
      <c r="F703" s="156"/>
      <c r="G703" s="156"/>
      <c r="H703" s="156"/>
      <c r="I703" s="156"/>
      <c r="J703" s="157"/>
    </row>
    <row r="704" spans="1:10" ht="12.75" customHeight="1">
      <c r="A704" s="158"/>
      <c r="B704" s="156"/>
      <c r="C704" s="156"/>
      <c r="D704" s="156"/>
      <c r="E704" s="156"/>
      <c r="F704" s="156"/>
      <c r="G704" s="156"/>
      <c r="H704" s="156"/>
      <c r="I704" s="156"/>
      <c r="J704" s="157"/>
    </row>
    <row r="705" spans="1:10" ht="12.75" customHeight="1">
      <c r="A705" s="158"/>
      <c r="B705" s="156"/>
      <c r="C705" s="156"/>
      <c r="D705" s="156"/>
      <c r="E705" s="156"/>
      <c r="F705" s="156"/>
      <c r="G705" s="156"/>
      <c r="H705" s="156"/>
      <c r="I705" s="156"/>
      <c r="J705" s="157"/>
    </row>
    <row r="706" spans="1:10" ht="12.75" customHeight="1">
      <c r="A706" s="199"/>
      <c r="B706" s="167"/>
      <c r="C706" s="167"/>
      <c r="D706" s="167"/>
      <c r="E706" s="167"/>
      <c r="F706" s="167"/>
      <c r="G706" s="167"/>
      <c r="H706" s="167"/>
      <c r="I706" s="167"/>
      <c r="J706" s="168"/>
    </row>
    <row r="707" spans="1:10" ht="12.75" customHeight="1">
      <c r="A707" s="100"/>
      <c r="B707" s="100"/>
      <c r="C707" s="100"/>
      <c r="D707" s="100"/>
      <c r="E707" s="100"/>
      <c r="F707" s="100"/>
      <c r="G707" s="100"/>
      <c r="H707" s="100"/>
      <c r="I707" s="100"/>
      <c r="J707" s="100"/>
    </row>
    <row r="708" spans="1:10" ht="12.75" customHeight="1">
      <c r="A708" s="207" t="s">
        <v>65</v>
      </c>
      <c r="B708" s="152"/>
      <c r="C708" s="152"/>
      <c r="D708" s="152"/>
      <c r="E708" s="152"/>
      <c r="F708" s="152"/>
      <c r="G708" s="181"/>
      <c r="H708" s="208" t="str">
        <f>'CONTACT INFORMATION'!$A$24</f>
        <v>Humboldt</v>
      </c>
      <c r="I708" s="152"/>
      <c r="J708" s="153"/>
    </row>
    <row r="709" spans="1:10" ht="12.75" customHeight="1">
      <c r="A709" s="66"/>
      <c r="B709" s="66"/>
      <c r="C709" s="66"/>
      <c r="D709" s="66"/>
      <c r="E709" s="66"/>
      <c r="F709" s="66"/>
      <c r="G709" s="66"/>
      <c r="H709" s="66"/>
      <c r="I709" s="66"/>
      <c r="J709" s="66"/>
    </row>
    <row r="710" spans="1:10" ht="12.75" customHeight="1">
      <c r="A710" s="251" t="s">
        <v>211</v>
      </c>
      <c r="B710" s="152"/>
      <c r="C710" s="152"/>
      <c r="D710" s="152"/>
      <c r="E710" s="152"/>
      <c r="F710" s="152"/>
      <c r="G710" s="152"/>
      <c r="H710" s="152"/>
      <c r="I710" s="152"/>
      <c r="J710" s="153"/>
    </row>
    <row r="711" spans="1:10" ht="12.75" customHeight="1">
      <c r="A711" s="252" t="s">
        <v>140</v>
      </c>
      <c r="B711" s="163"/>
      <c r="C711" s="163"/>
      <c r="D711" s="164"/>
      <c r="E711" s="269"/>
      <c r="F711" s="197"/>
      <c r="G711" s="197"/>
      <c r="H711" s="197"/>
      <c r="I711" s="197"/>
      <c r="J711" s="198"/>
    </row>
    <row r="712" spans="1:10" ht="12.75" customHeight="1">
      <c r="A712" s="254" t="s">
        <v>161</v>
      </c>
      <c r="B712" s="149"/>
      <c r="C712" s="149"/>
      <c r="D712" s="150"/>
      <c r="E712" s="199"/>
      <c r="F712" s="167"/>
      <c r="G712" s="167"/>
      <c r="H712" s="167"/>
      <c r="I712" s="167"/>
      <c r="J712" s="168"/>
    </row>
    <row r="713" spans="1:10" ht="12.75" customHeight="1">
      <c r="A713" s="259" t="s">
        <v>212</v>
      </c>
      <c r="B713" s="152"/>
      <c r="C713" s="152"/>
      <c r="D713" s="153"/>
      <c r="E713" s="221"/>
      <c r="F713" s="152"/>
      <c r="G713" s="152"/>
      <c r="H713" s="152"/>
      <c r="I713" s="152"/>
      <c r="J713" s="153"/>
    </row>
    <row r="714" spans="1:10" ht="12.75" customHeight="1">
      <c r="A714" s="53"/>
      <c r="B714" s="55"/>
      <c r="C714" s="55"/>
      <c r="D714" s="55"/>
      <c r="E714" s="255" t="s">
        <v>143</v>
      </c>
      <c r="F714" s="167"/>
      <c r="G714" s="255" t="s">
        <v>144</v>
      </c>
      <c r="H714" s="167"/>
      <c r="I714" s="256" t="s">
        <v>145</v>
      </c>
      <c r="J714" s="168"/>
    </row>
    <row r="715" spans="1:10" ht="12.75" customHeight="1">
      <c r="A715" s="220" t="s">
        <v>146</v>
      </c>
      <c r="B715" s="152"/>
      <c r="C715" s="152"/>
      <c r="D715" s="153"/>
      <c r="E715" s="239"/>
      <c r="F715" s="153"/>
      <c r="G715" s="239"/>
      <c r="H715" s="153"/>
      <c r="I715" s="240"/>
      <c r="J715" s="153"/>
    </row>
    <row r="716" spans="1:10" ht="12.75" customHeight="1">
      <c r="A716" s="241" t="s">
        <v>147</v>
      </c>
      <c r="B716" s="152"/>
      <c r="C716" s="152"/>
      <c r="D716" s="153"/>
      <c r="E716" s="264"/>
      <c r="F716" s="153"/>
      <c r="G716" s="257"/>
      <c r="H716" s="153"/>
      <c r="I716" s="258"/>
      <c r="J716" s="153"/>
    </row>
    <row r="717" spans="1:10" ht="12.75" customHeight="1">
      <c r="A717" s="220" t="s">
        <v>148</v>
      </c>
      <c r="B717" s="152"/>
      <c r="C717" s="152"/>
      <c r="D717" s="153"/>
      <c r="E717" s="239"/>
      <c r="F717" s="153"/>
      <c r="G717" s="239"/>
      <c r="H717" s="153"/>
      <c r="I717" s="240"/>
      <c r="J717" s="153"/>
    </row>
    <row r="718" spans="1:10" ht="12.75" customHeight="1">
      <c r="A718" s="241" t="s">
        <v>149</v>
      </c>
      <c r="B718" s="152"/>
      <c r="C718" s="152"/>
      <c r="D718" s="153"/>
      <c r="E718" s="264"/>
      <c r="F718" s="153"/>
      <c r="G718" s="257"/>
      <c r="H718" s="153"/>
      <c r="I718" s="258"/>
      <c r="J718" s="153"/>
    </row>
    <row r="719" spans="1:10" ht="12.75" customHeight="1">
      <c r="A719" s="220" t="s">
        <v>150</v>
      </c>
      <c r="B719" s="152"/>
      <c r="C719" s="152"/>
      <c r="D719" s="153"/>
      <c r="E719" s="239"/>
      <c r="F719" s="153"/>
      <c r="G719" s="239"/>
      <c r="H719" s="153"/>
      <c r="I719" s="240"/>
      <c r="J719" s="153"/>
    </row>
    <row r="720" spans="1:10" ht="12.75" customHeight="1">
      <c r="A720" s="241" t="s">
        <v>151</v>
      </c>
      <c r="B720" s="152"/>
      <c r="C720" s="152"/>
      <c r="D720" s="153"/>
      <c r="E720" s="264"/>
      <c r="F720" s="153"/>
      <c r="G720" s="257"/>
      <c r="H720" s="153"/>
      <c r="I720" s="258"/>
      <c r="J720" s="153"/>
    </row>
    <row r="721" spans="1:10" ht="12.75" customHeight="1">
      <c r="A721" s="220" t="s">
        <v>152</v>
      </c>
      <c r="B721" s="152"/>
      <c r="C721" s="152"/>
      <c r="D721" s="153"/>
      <c r="E721" s="262"/>
      <c r="F721" s="153"/>
      <c r="G721" s="262"/>
      <c r="H721" s="153"/>
      <c r="I721" s="263"/>
      <c r="J721" s="153"/>
    </row>
    <row r="722" spans="1:10" ht="12.75" customHeight="1">
      <c r="A722" s="265"/>
      <c r="B722" s="152"/>
      <c r="C722" s="152"/>
      <c r="D722" s="153"/>
      <c r="E722" s="264"/>
      <c r="F722" s="153"/>
      <c r="G722" s="257"/>
      <c r="H722" s="153"/>
      <c r="I722" s="257"/>
      <c r="J722" s="153"/>
    </row>
    <row r="723" spans="1:10" ht="12.75" customHeight="1">
      <c r="A723" s="265"/>
      <c r="B723" s="152"/>
      <c r="C723" s="152"/>
      <c r="D723" s="153"/>
      <c r="E723" s="264"/>
      <c r="F723" s="153"/>
      <c r="G723" s="257"/>
      <c r="H723" s="153"/>
      <c r="I723" s="257"/>
      <c r="J723" s="153"/>
    </row>
    <row r="724" spans="1:10" ht="12.75" customHeight="1">
      <c r="A724" s="265"/>
      <c r="B724" s="152"/>
      <c r="C724" s="152"/>
      <c r="D724" s="153"/>
      <c r="E724" s="264"/>
      <c r="F724" s="153"/>
      <c r="G724" s="257"/>
      <c r="H724" s="153"/>
      <c r="I724" s="257"/>
      <c r="J724" s="153"/>
    </row>
    <row r="725" spans="1:10" ht="12.75" customHeight="1">
      <c r="A725" s="222" t="s">
        <v>153</v>
      </c>
      <c r="B725" s="152"/>
      <c r="C725" s="152"/>
      <c r="D725" s="153"/>
      <c r="E725" s="266">
        <f>SUM(E715:E724)</f>
        <v>0</v>
      </c>
      <c r="F725" s="153"/>
      <c r="G725" s="266">
        <f>SUM(G715:G724)</f>
        <v>0</v>
      </c>
      <c r="H725" s="153"/>
      <c r="I725" s="266">
        <f>SUM(I715:I724)</f>
        <v>0</v>
      </c>
      <c r="J725" s="153"/>
    </row>
    <row r="726" spans="1:10" ht="12.75" customHeight="1">
      <c r="A726" s="267" t="s">
        <v>154</v>
      </c>
      <c r="B726" s="163"/>
      <c r="C726" s="163"/>
      <c r="D726" s="163"/>
      <c r="E726" s="163"/>
      <c r="F726" s="163"/>
      <c r="G726" s="163"/>
      <c r="H726" s="163"/>
      <c r="I726" s="163"/>
      <c r="J726" s="164"/>
    </row>
    <row r="727" spans="1:10" ht="12.75" customHeight="1">
      <c r="A727" s="268" t="s">
        <v>155</v>
      </c>
      <c r="B727" s="171"/>
      <c r="C727" s="171"/>
      <c r="D727" s="171"/>
      <c r="E727" s="171"/>
      <c r="F727" s="171"/>
      <c r="G727" s="171"/>
      <c r="H727" s="171"/>
      <c r="I727" s="171"/>
      <c r="J727" s="172"/>
    </row>
    <row r="728" spans="1:10" ht="12.75" customHeight="1">
      <c r="A728" s="268" t="s">
        <v>156</v>
      </c>
      <c r="B728" s="171"/>
      <c r="C728" s="171"/>
      <c r="D728" s="171"/>
      <c r="E728" s="171"/>
      <c r="F728" s="171"/>
      <c r="G728" s="171"/>
      <c r="H728" s="171"/>
      <c r="I728" s="171"/>
      <c r="J728" s="172"/>
    </row>
    <row r="729" spans="1:10" ht="12.75" customHeight="1">
      <c r="A729" s="260" t="s">
        <v>157</v>
      </c>
      <c r="B729" s="149"/>
      <c r="C729" s="149"/>
      <c r="D729" s="149"/>
      <c r="E729" s="149"/>
      <c r="F729" s="149"/>
      <c r="G729" s="149"/>
      <c r="H729" s="149"/>
      <c r="I729" s="149"/>
      <c r="J729" s="150"/>
    </row>
    <row r="730" spans="1:10" ht="12.75" customHeight="1">
      <c r="A730" s="261"/>
      <c r="B730" s="197"/>
      <c r="C730" s="197"/>
      <c r="D730" s="197"/>
      <c r="E730" s="197"/>
      <c r="F730" s="197"/>
      <c r="G730" s="197"/>
      <c r="H730" s="197"/>
      <c r="I730" s="197"/>
      <c r="J730" s="198"/>
    </row>
    <row r="731" spans="1:10" ht="12.75" customHeight="1">
      <c r="A731" s="158"/>
      <c r="B731" s="156"/>
      <c r="C731" s="156"/>
      <c r="D731" s="156"/>
      <c r="E731" s="156"/>
      <c r="F731" s="156"/>
      <c r="G731" s="156"/>
      <c r="H731" s="156"/>
      <c r="I731" s="156"/>
      <c r="J731" s="157"/>
    </row>
    <row r="732" spans="1:10" ht="12.75" customHeight="1">
      <c r="A732" s="158"/>
      <c r="B732" s="156"/>
      <c r="C732" s="156"/>
      <c r="D732" s="156"/>
      <c r="E732" s="156"/>
      <c r="F732" s="156"/>
      <c r="G732" s="156"/>
      <c r="H732" s="156"/>
      <c r="I732" s="156"/>
      <c r="J732" s="157"/>
    </row>
    <row r="733" spans="1:10" ht="12.75" customHeight="1">
      <c r="A733" s="158"/>
      <c r="B733" s="156"/>
      <c r="C733" s="156"/>
      <c r="D733" s="156"/>
      <c r="E733" s="156"/>
      <c r="F733" s="156"/>
      <c r="G733" s="156"/>
      <c r="H733" s="156"/>
      <c r="I733" s="156"/>
      <c r="J733" s="157"/>
    </row>
    <row r="734" spans="1:10" ht="12.75" customHeight="1">
      <c r="A734" s="158"/>
      <c r="B734" s="156"/>
      <c r="C734" s="156"/>
      <c r="D734" s="156"/>
      <c r="E734" s="156"/>
      <c r="F734" s="156"/>
      <c r="G734" s="156"/>
      <c r="H734" s="156"/>
      <c r="I734" s="156"/>
      <c r="J734" s="157"/>
    </row>
    <row r="735" spans="1:10" ht="12.75" customHeight="1">
      <c r="A735" s="158"/>
      <c r="B735" s="156"/>
      <c r="C735" s="156"/>
      <c r="D735" s="156"/>
      <c r="E735" s="156"/>
      <c r="F735" s="156"/>
      <c r="G735" s="156"/>
      <c r="H735" s="156"/>
      <c r="I735" s="156"/>
      <c r="J735" s="157"/>
    </row>
    <row r="736" spans="1:10" ht="12.75" customHeight="1">
      <c r="A736" s="158"/>
      <c r="B736" s="156"/>
      <c r="C736" s="156"/>
      <c r="D736" s="156"/>
      <c r="E736" s="156"/>
      <c r="F736" s="156"/>
      <c r="G736" s="156"/>
      <c r="H736" s="156"/>
      <c r="I736" s="156"/>
      <c r="J736" s="157"/>
    </row>
    <row r="737" spans="1:10" ht="12.75" customHeight="1">
      <c r="A737" s="158"/>
      <c r="B737" s="156"/>
      <c r="C737" s="156"/>
      <c r="D737" s="156"/>
      <c r="E737" s="156"/>
      <c r="F737" s="156"/>
      <c r="G737" s="156"/>
      <c r="H737" s="156"/>
      <c r="I737" s="156"/>
      <c r="J737" s="157"/>
    </row>
    <row r="738" spans="1:10" ht="12.75" customHeight="1">
      <c r="A738" s="158"/>
      <c r="B738" s="156"/>
      <c r="C738" s="156"/>
      <c r="D738" s="156"/>
      <c r="E738" s="156"/>
      <c r="F738" s="156"/>
      <c r="G738" s="156"/>
      <c r="H738" s="156"/>
      <c r="I738" s="156"/>
      <c r="J738" s="157"/>
    </row>
    <row r="739" spans="1:10" ht="12.75" customHeight="1">
      <c r="A739" s="158"/>
      <c r="B739" s="156"/>
      <c r="C739" s="156"/>
      <c r="D739" s="156"/>
      <c r="E739" s="156"/>
      <c r="F739" s="156"/>
      <c r="G739" s="156"/>
      <c r="H739" s="156"/>
      <c r="I739" s="156"/>
      <c r="J739" s="157"/>
    </row>
    <row r="740" spans="1:10" ht="12.75" customHeight="1">
      <c r="A740" s="158"/>
      <c r="B740" s="156"/>
      <c r="C740" s="156"/>
      <c r="D740" s="156"/>
      <c r="E740" s="156"/>
      <c r="F740" s="156"/>
      <c r="G740" s="156"/>
      <c r="H740" s="156"/>
      <c r="I740" s="156"/>
      <c r="J740" s="157"/>
    </row>
    <row r="741" spans="1:10" ht="12.75" customHeight="1">
      <c r="A741" s="158"/>
      <c r="B741" s="156"/>
      <c r="C741" s="156"/>
      <c r="D741" s="156"/>
      <c r="E741" s="156"/>
      <c r="F741" s="156"/>
      <c r="G741" s="156"/>
      <c r="H741" s="156"/>
      <c r="I741" s="156"/>
      <c r="J741" s="157"/>
    </row>
    <row r="742" spans="1:10" ht="12.75" customHeight="1">
      <c r="A742" s="158"/>
      <c r="B742" s="156"/>
      <c r="C742" s="156"/>
      <c r="D742" s="156"/>
      <c r="E742" s="156"/>
      <c r="F742" s="156"/>
      <c r="G742" s="156"/>
      <c r="H742" s="156"/>
      <c r="I742" s="156"/>
      <c r="J742" s="157"/>
    </row>
    <row r="743" spans="1:10" ht="12.75" customHeight="1">
      <c r="A743" s="158"/>
      <c r="B743" s="156"/>
      <c r="C743" s="156"/>
      <c r="D743" s="156"/>
      <c r="E743" s="156"/>
      <c r="F743" s="156"/>
      <c r="G743" s="156"/>
      <c r="H743" s="156"/>
      <c r="I743" s="156"/>
      <c r="J743" s="157"/>
    </row>
    <row r="744" spans="1:10" ht="12.75" customHeight="1">
      <c r="A744" s="158"/>
      <c r="B744" s="156"/>
      <c r="C744" s="156"/>
      <c r="D744" s="156"/>
      <c r="E744" s="156"/>
      <c r="F744" s="156"/>
      <c r="G744" s="156"/>
      <c r="H744" s="156"/>
      <c r="I744" s="156"/>
      <c r="J744" s="157"/>
    </row>
    <row r="745" spans="1:10" ht="12.75" customHeight="1">
      <c r="A745" s="158"/>
      <c r="B745" s="156"/>
      <c r="C745" s="156"/>
      <c r="D745" s="156"/>
      <c r="E745" s="156"/>
      <c r="F745" s="156"/>
      <c r="G745" s="156"/>
      <c r="H745" s="156"/>
      <c r="I745" s="156"/>
      <c r="J745" s="157"/>
    </row>
    <row r="746" spans="1:10" ht="12.75" customHeight="1">
      <c r="A746" s="158"/>
      <c r="B746" s="156"/>
      <c r="C746" s="156"/>
      <c r="D746" s="156"/>
      <c r="E746" s="156"/>
      <c r="F746" s="156"/>
      <c r="G746" s="156"/>
      <c r="H746" s="156"/>
      <c r="I746" s="156"/>
      <c r="J746" s="157"/>
    </row>
    <row r="747" spans="1:10" ht="12.75" customHeight="1">
      <c r="A747" s="158"/>
      <c r="B747" s="156"/>
      <c r="C747" s="156"/>
      <c r="D747" s="156"/>
      <c r="E747" s="156"/>
      <c r="F747" s="156"/>
      <c r="G747" s="156"/>
      <c r="H747" s="156"/>
      <c r="I747" s="156"/>
      <c r="J747" s="157"/>
    </row>
    <row r="748" spans="1:10" ht="12.75" customHeight="1">
      <c r="A748" s="158"/>
      <c r="B748" s="156"/>
      <c r="C748" s="156"/>
      <c r="D748" s="156"/>
      <c r="E748" s="156"/>
      <c r="F748" s="156"/>
      <c r="G748" s="156"/>
      <c r="H748" s="156"/>
      <c r="I748" s="156"/>
      <c r="J748" s="157"/>
    </row>
    <row r="749" spans="1:10" ht="12.75" customHeight="1">
      <c r="A749" s="158"/>
      <c r="B749" s="156"/>
      <c r="C749" s="156"/>
      <c r="D749" s="156"/>
      <c r="E749" s="156"/>
      <c r="F749" s="156"/>
      <c r="G749" s="156"/>
      <c r="H749" s="156"/>
      <c r="I749" s="156"/>
      <c r="J749" s="157"/>
    </row>
    <row r="750" spans="1:10" ht="12.75" customHeight="1">
      <c r="A750" s="158"/>
      <c r="B750" s="156"/>
      <c r="C750" s="156"/>
      <c r="D750" s="156"/>
      <c r="E750" s="156"/>
      <c r="F750" s="156"/>
      <c r="G750" s="156"/>
      <c r="H750" s="156"/>
      <c r="I750" s="156"/>
      <c r="J750" s="157"/>
    </row>
    <row r="751" spans="1:10" ht="12.75" customHeight="1">
      <c r="A751" s="158"/>
      <c r="B751" s="156"/>
      <c r="C751" s="156"/>
      <c r="D751" s="156"/>
      <c r="E751" s="156"/>
      <c r="F751" s="156"/>
      <c r="G751" s="156"/>
      <c r="H751" s="156"/>
      <c r="I751" s="156"/>
      <c r="J751" s="157"/>
    </row>
    <row r="752" spans="1:10" ht="12.75" customHeight="1">
      <c r="A752" s="158"/>
      <c r="B752" s="156"/>
      <c r="C752" s="156"/>
      <c r="D752" s="156"/>
      <c r="E752" s="156"/>
      <c r="F752" s="156"/>
      <c r="G752" s="156"/>
      <c r="H752" s="156"/>
      <c r="I752" s="156"/>
      <c r="J752" s="157"/>
    </row>
    <row r="753" spans="1:10" ht="12.75" customHeight="1">
      <c r="A753" s="158"/>
      <c r="B753" s="156"/>
      <c r="C753" s="156"/>
      <c r="D753" s="156"/>
      <c r="E753" s="156"/>
      <c r="F753" s="156"/>
      <c r="G753" s="156"/>
      <c r="H753" s="156"/>
      <c r="I753" s="156"/>
      <c r="J753" s="157"/>
    </row>
    <row r="754" spans="1:10" ht="12.75" customHeight="1">
      <c r="A754" s="158"/>
      <c r="B754" s="156"/>
      <c r="C754" s="156"/>
      <c r="D754" s="156"/>
      <c r="E754" s="156"/>
      <c r="F754" s="156"/>
      <c r="G754" s="156"/>
      <c r="H754" s="156"/>
      <c r="I754" s="156"/>
      <c r="J754" s="157"/>
    </row>
    <row r="755" spans="1:10" ht="12.75" customHeight="1">
      <c r="A755" s="158"/>
      <c r="B755" s="156"/>
      <c r="C755" s="156"/>
      <c r="D755" s="156"/>
      <c r="E755" s="156"/>
      <c r="F755" s="156"/>
      <c r="G755" s="156"/>
      <c r="H755" s="156"/>
      <c r="I755" s="156"/>
      <c r="J755" s="157"/>
    </row>
    <row r="756" spans="1:10" ht="12.75" customHeight="1">
      <c r="A756" s="158"/>
      <c r="B756" s="156"/>
      <c r="C756" s="156"/>
      <c r="D756" s="156"/>
      <c r="E756" s="156"/>
      <c r="F756" s="156"/>
      <c r="G756" s="156"/>
      <c r="H756" s="156"/>
      <c r="I756" s="156"/>
      <c r="J756" s="157"/>
    </row>
    <row r="757" spans="1:10" ht="12.75" customHeight="1">
      <c r="A757" s="158"/>
      <c r="B757" s="156"/>
      <c r="C757" s="156"/>
      <c r="D757" s="156"/>
      <c r="E757" s="156"/>
      <c r="F757" s="156"/>
      <c r="G757" s="156"/>
      <c r="H757" s="156"/>
      <c r="I757" s="156"/>
      <c r="J757" s="157"/>
    </row>
    <row r="758" spans="1:10" ht="12.75" customHeight="1">
      <c r="A758" s="158"/>
      <c r="B758" s="156"/>
      <c r="C758" s="156"/>
      <c r="D758" s="156"/>
      <c r="E758" s="156"/>
      <c r="F758" s="156"/>
      <c r="G758" s="156"/>
      <c r="H758" s="156"/>
      <c r="I758" s="156"/>
      <c r="J758" s="157"/>
    </row>
    <row r="759" spans="1:10" ht="12.75" customHeight="1">
      <c r="A759" s="158"/>
      <c r="B759" s="156"/>
      <c r="C759" s="156"/>
      <c r="D759" s="156"/>
      <c r="E759" s="156"/>
      <c r="F759" s="156"/>
      <c r="G759" s="156"/>
      <c r="H759" s="156"/>
      <c r="I759" s="156"/>
      <c r="J759" s="157"/>
    </row>
    <row r="760" spans="1:10" ht="12.75" customHeight="1">
      <c r="A760" s="199"/>
      <c r="B760" s="167"/>
      <c r="C760" s="167"/>
      <c r="D760" s="167"/>
      <c r="E760" s="167"/>
      <c r="F760" s="167"/>
      <c r="G760" s="167"/>
      <c r="H760" s="167"/>
      <c r="I760" s="167"/>
      <c r="J760" s="168"/>
    </row>
    <row r="761" spans="1:10" ht="12.75" customHeight="1"/>
    <row r="762" spans="1:10" ht="12.75" customHeight="1">
      <c r="A762" s="207" t="s">
        <v>65</v>
      </c>
      <c r="B762" s="152"/>
      <c r="C762" s="152"/>
      <c r="D762" s="152"/>
      <c r="E762" s="152"/>
      <c r="F762" s="152"/>
      <c r="G762" s="181"/>
      <c r="H762" s="208" t="str">
        <f>'CONTACT INFORMATION'!$A$24</f>
        <v>Humboldt</v>
      </c>
      <c r="I762" s="152"/>
      <c r="J762" s="153"/>
    </row>
    <row r="763" spans="1:10" ht="12.75" customHeight="1">
      <c r="A763" s="66"/>
      <c r="B763" s="66"/>
      <c r="C763" s="66"/>
      <c r="D763" s="66"/>
      <c r="E763" s="66"/>
      <c r="F763" s="66"/>
      <c r="G763" s="66"/>
      <c r="H763" s="66"/>
      <c r="I763" s="66"/>
      <c r="J763" s="66"/>
    </row>
    <row r="764" spans="1:10" ht="12.75" customHeight="1">
      <c r="A764" s="251" t="s">
        <v>213</v>
      </c>
      <c r="B764" s="152"/>
      <c r="C764" s="152"/>
      <c r="D764" s="152"/>
      <c r="E764" s="152"/>
      <c r="F764" s="152"/>
      <c r="G764" s="152"/>
      <c r="H764" s="152"/>
      <c r="I764" s="152"/>
      <c r="J764" s="153"/>
    </row>
    <row r="765" spans="1:10" ht="12.75" customHeight="1">
      <c r="A765" s="252" t="s">
        <v>140</v>
      </c>
      <c r="B765" s="163"/>
      <c r="C765" s="163"/>
      <c r="D765" s="164"/>
      <c r="E765" s="269"/>
      <c r="F765" s="197"/>
      <c r="G765" s="197"/>
      <c r="H765" s="197"/>
      <c r="I765" s="197"/>
      <c r="J765" s="198"/>
    </row>
    <row r="766" spans="1:10" ht="12.75" customHeight="1">
      <c r="A766" s="254" t="s">
        <v>161</v>
      </c>
      <c r="B766" s="149"/>
      <c r="C766" s="149"/>
      <c r="D766" s="150"/>
      <c r="E766" s="199"/>
      <c r="F766" s="167"/>
      <c r="G766" s="167"/>
      <c r="H766" s="167"/>
      <c r="I766" s="167"/>
      <c r="J766" s="168"/>
    </row>
    <row r="767" spans="1:10" ht="12.75" customHeight="1">
      <c r="A767" s="259" t="s">
        <v>214</v>
      </c>
      <c r="B767" s="152"/>
      <c r="C767" s="152"/>
      <c r="D767" s="153"/>
      <c r="E767" s="221"/>
      <c r="F767" s="152"/>
      <c r="G767" s="152"/>
      <c r="H767" s="152"/>
      <c r="I767" s="152"/>
      <c r="J767" s="153"/>
    </row>
    <row r="768" spans="1:10" ht="12.75" customHeight="1">
      <c r="A768" s="53"/>
      <c r="B768" s="55"/>
      <c r="C768" s="55"/>
      <c r="D768" s="55"/>
      <c r="E768" s="255" t="s">
        <v>143</v>
      </c>
      <c r="F768" s="167"/>
      <c r="G768" s="255" t="s">
        <v>144</v>
      </c>
      <c r="H768" s="167"/>
      <c r="I768" s="256" t="s">
        <v>145</v>
      </c>
      <c r="J768" s="168"/>
    </row>
    <row r="769" spans="1:10" ht="12.75" customHeight="1">
      <c r="A769" s="220" t="s">
        <v>146</v>
      </c>
      <c r="B769" s="152"/>
      <c r="C769" s="152"/>
      <c r="D769" s="153"/>
      <c r="E769" s="239"/>
      <c r="F769" s="153"/>
      <c r="G769" s="239"/>
      <c r="H769" s="153"/>
      <c r="I769" s="240"/>
      <c r="J769" s="153"/>
    </row>
    <row r="770" spans="1:10" ht="12.75" customHeight="1">
      <c r="A770" s="241" t="s">
        <v>147</v>
      </c>
      <c r="B770" s="152"/>
      <c r="C770" s="152"/>
      <c r="D770" s="153"/>
      <c r="E770" s="264"/>
      <c r="F770" s="153"/>
      <c r="G770" s="257"/>
      <c r="H770" s="153"/>
      <c r="I770" s="258"/>
      <c r="J770" s="153"/>
    </row>
    <row r="771" spans="1:10" ht="12.75" customHeight="1">
      <c r="A771" s="220" t="s">
        <v>148</v>
      </c>
      <c r="B771" s="152"/>
      <c r="C771" s="152"/>
      <c r="D771" s="153"/>
      <c r="E771" s="239"/>
      <c r="F771" s="153"/>
      <c r="G771" s="239"/>
      <c r="H771" s="153"/>
      <c r="I771" s="240"/>
      <c r="J771" s="153"/>
    </row>
    <row r="772" spans="1:10" ht="12.75" customHeight="1">
      <c r="A772" s="241" t="s">
        <v>149</v>
      </c>
      <c r="B772" s="152"/>
      <c r="C772" s="152"/>
      <c r="D772" s="153"/>
      <c r="E772" s="264"/>
      <c r="F772" s="153"/>
      <c r="G772" s="257"/>
      <c r="H772" s="153"/>
      <c r="I772" s="258"/>
      <c r="J772" s="153"/>
    </row>
    <row r="773" spans="1:10" ht="12.75" customHeight="1">
      <c r="A773" s="220" t="s">
        <v>150</v>
      </c>
      <c r="B773" s="152"/>
      <c r="C773" s="152"/>
      <c r="D773" s="153"/>
      <c r="E773" s="239"/>
      <c r="F773" s="153"/>
      <c r="G773" s="239"/>
      <c r="H773" s="153"/>
      <c r="I773" s="240"/>
      <c r="J773" s="153"/>
    </row>
    <row r="774" spans="1:10" ht="12.75" customHeight="1">
      <c r="A774" s="241" t="s">
        <v>151</v>
      </c>
      <c r="B774" s="152"/>
      <c r="C774" s="152"/>
      <c r="D774" s="153"/>
      <c r="E774" s="264"/>
      <c r="F774" s="153"/>
      <c r="G774" s="257"/>
      <c r="H774" s="153"/>
      <c r="I774" s="258"/>
      <c r="J774" s="153"/>
    </row>
    <row r="775" spans="1:10" ht="12.75" customHeight="1">
      <c r="A775" s="220" t="s">
        <v>152</v>
      </c>
      <c r="B775" s="152"/>
      <c r="C775" s="152"/>
      <c r="D775" s="153"/>
      <c r="E775" s="262"/>
      <c r="F775" s="153"/>
      <c r="G775" s="262"/>
      <c r="H775" s="153"/>
      <c r="I775" s="263"/>
      <c r="J775" s="153"/>
    </row>
    <row r="776" spans="1:10" ht="12.75" customHeight="1">
      <c r="A776" s="265"/>
      <c r="B776" s="152"/>
      <c r="C776" s="152"/>
      <c r="D776" s="153"/>
      <c r="E776" s="264"/>
      <c r="F776" s="153"/>
      <c r="G776" s="257"/>
      <c r="H776" s="153"/>
      <c r="I776" s="257"/>
      <c r="J776" s="153"/>
    </row>
    <row r="777" spans="1:10" ht="12.75" customHeight="1">
      <c r="A777" s="265"/>
      <c r="B777" s="152"/>
      <c r="C777" s="152"/>
      <c r="D777" s="153"/>
      <c r="E777" s="264"/>
      <c r="F777" s="153"/>
      <c r="G777" s="257"/>
      <c r="H777" s="153"/>
      <c r="I777" s="257"/>
      <c r="J777" s="153"/>
    </row>
    <row r="778" spans="1:10" ht="12.75" customHeight="1">
      <c r="A778" s="265"/>
      <c r="B778" s="152"/>
      <c r="C778" s="152"/>
      <c r="D778" s="153"/>
      <c r="E778" s="264"/>
      <c r="F778" s="153"/>
      <c r="G778" s="257"/>
      <c r="H778" s="153"/>
      <c r="I778" s="257"/>
      <c r="J778" s="153"/>
    </row>
    <row r="779" spans="1:10" ht="12.75" customHeight="1">
      <c r="A779" s="222" t="s">
        <v>153</v>
      </c>
      <c r="B779" s="152"/>
      <c r="C779" s="152"/>
      <c r="D779" s="153"/>
      <c r="E779" s="266">
        <f>SUM(E769:E778)</f>
        <v>0</v>
      </c>
      <c r="F779" s="153"/>
      <c r="G779" s="266">
        <f>SUM(G769:G778)</f>
        <v>0</v>
      </c>
      <c r="H779" s="153"/>
      <c r="I779" s="266">
        <f>SUM(I769:I778)</f>
        <v>0</v>
      </c>
      <c r="J779" s="153"/>
    </row>
    <row r="780" spans="1:10" ht="12.75" customHeight="1">
      <c r="A780" s="267" t="s">
        <v>154</v>
      </c>
      <c r="B780" s="163"/>
      <c r="C780" s="163"/>
      <c r="D780" s="163"/>
      <c r="E780" s="163"/>
      <c r="F780" s="163"/>
      <c r="G780" s="163"/>
      <c r="H780" s="163"/>
      <c r="I780" s="163"/>
      <c r="J780" s="164"/>
    </row>
    <row r="781" spans="1:10" ht="12.75" customHeight="1">
      <c r="A781" s="268" t="s">
        <v>155</v>
      </c>
      <c r="B781" s="171"/>
      <c r="C781" s="171"/>
      <c r="D781" s="171"/>
      <c r="E781" s="171"/>
      <c r="F781" s="171"/>
      <c r="G781" s="171"/>
      <c r="H781" s="171"/>
      <c r="I781" s="171"/>
      <c r="J781" s="172"/>
    </row>
    <row r="782" spans="1:10" ht="12.75" customHeight="1">
      <c r="A782" s="268" t="s">
        <v>156</v>
      </c>
      <c r="B782" s="171"/>
      <c r="C782" s="171"/>
      <c r="D782" s="171"/>
      <c r="E782" s="171"/>
      <c r="F782" s="171"/>
      <c r="G782" s="171"/>
      <c r="H782" s="171"/>
      <c r="I782" s="171"/>
      <c r="J782" s="172"/>
    </row>
    <row r="783" spans="1:10" ht="12.75" customHeight="1">
      <c r="A783" s="260" t="s">
        <v>157</v>
      </c>
      <c r="B783" s="149"/>
      <c r="C783" s="149"/>
      <c r="D783" s="149"/>
      <c r="E783" s="149"/>
      <c r="F783" s="149"/>
      <c r="G783" s="149"/>
      <c r="H783" s="149"/>
      <c r="I783" s="149"/>
      <c r="J783" s="150"/>
    </row>
    <row r="784" spans="1:10" ht="12.75" customHeight="1">
      <c r="A784" s="261"/>
      <c r="B784" s="197"/>
      <c r="C784" s="197"/>
      <c r="D784" s="197"/>
      <c r="E784" s="197"/>
      <c r="F784" s="197"/>
      <c r="G784" s="197"/>
      <c r="H784" s="197"/>
      <c r="I784" s="197"/>
      <c r="J784" s="198"/>
    </row>
    <row r="785" spans="1:10" ht="12.75" customHeight="1">
      <c r="A785" s="158"/>
      <c r="B785" s="156"/>
      <c r="C785" s="156"/>
      <c r="D785" s="156"/>
      <c r="E785" s="156"/>
      <c r="F785" s="156"/>
      <c r="G785" s="156"/>
      <c r="H785" s="156"/>
      <c r="I785" s="156"/>
      <c r="J785" s="157"/>
    </row>
    <row r="786" spans="1:10" ht="12.75" customHeight="1">
      <c r="A786" s="158"/>
      <c r="B786" s="156"/>
      <c r="C786" s="156"/>
      <c r="D786" s="156"/>
      <c r="E786" s="156"/>
      <c r="F786" s="156"/>
      <c r="G786" s="156"/>
      <c r="H786" s="156"/>
      <c r="I786" s="156"/>
      <c r="J786" s="157"/>
    </row>
    <row r="787" spans="1:10" ht="12.75" customHeight="1">
      <c r="A787" s="158"/>
      <c r="B787" s="156"/>
      <c r="C787" s="156"/>
      <c r="D787" s="156"/>
      <c r="E787" s="156"/>
      <c r="F787" s="156"/>
      <c r="G787" s="156"/>
      <c r="H787" s="156"/>
      <c r="I787" s="156"/>
      <c r="J787" s="157"/>
    </row>
    <row r="788" spans="1:10" ht="12.75" customHeight="1">
      <c r="A788" s="158"/>
      <c r="B788" s="156"/>
      <c r="C788" s="156"/>
      <c r="D788" s="156"/>
      <c r="E788" s="156"/>
      <c r="F788" s="156"/>
      <c r="G788" s="156"/>
      <c r="H788" s="156"/>
      <c r="I788" s="156"/>
      <c r="J788" s="157"/>
    </row>
    <row r="789" spans="1:10" ht="12.75" customHeight="1">
      <c r="A789" s="158"/>
      <c r="B789" s="156"/>
      <c r="C789" s="156"/>
      <c r="D789" s="156"/>
      <c r="E789" s="156"/>
      <c r="F789" s="156"/>
      <c r="G789" s="156"/>
      <c r="H789" s="156"/>
      <c r="I789" s="156"/>
      <c r="J789" s="157"/>
    </row>
    <row r="790" spans="1:10" ht="12.75" customHeight="1">
      <c r="A790" s="158"/>
      <c r="B790" s="156"/>
      <c r="C790" s="156"/>
      <c r="D790" s="156"/>
      <c r="E790" s="156"/>
      <c r="F790" s="156"/>
      <c r="G790" s="156"/>
      <c r="H790" s="156"/>
      <c r="I790" s="156"/>
      <c r="J790" s="157"/>
    </row>
    <row r="791" spans="1:10" ht="12.75" customHeight="1">
      <c r="A791" s="158"/>
      <c r="B791" s="156"/>
      <c r="C791" s="156"/>
      <c r="D791" s="156"/>
      <c r="E791" s="156"/>
      <c r="F791" s="156"/>
      <c r="G791" s="156"/>
      <c r="H791" s="156"/>
      <c r="I791" s="156"/>
      <c r="J791" s="157"/>
    </row>
    <row r="792" spans="1:10" ht="12.75" customHeight="1">
      <c r="A792" s="158"/>
      <c r="B792" s="156"/>
      <c r="C792" s="156"/>
      <c r="D792" s="156"/>
      <c r="E792" s="156"/>
      <c r="F792" s="156"/>
      <c r="G792" s="156"/>
      <c r="H792" s="156"/>
      <c r="I792" s="156"/>
      <c r="J792" s="157"/>
    </row>
    <row r="793" spans="1:10" ht="12.75" customHeight="1">
      <c r="A793" s="158"/>
      <c r="B793" s="156"/>
      <c r="C793" s="156"/>
      <c r="D793" s="156"/>
      <c r="E793" s="156"/>
      <c r="F793" s="156"/>
      <c r="G793" s="156"/>
      <c r="H793" s="156"/>
      <c r="I793" s="156"/>
      <c r="J793" s="157"/>
    </row>
    <row r="794" spans="1:10" ht="12.75" customHeight="1">
      <c r="A794" s="158"/>
      <c r="B794" s="156"/>
      <c r="C794" s="156"/>
      <c r="D794" s="156"/>
      <c r="E794" s="156"/>
      <c r="F794" s="156"/>
      <c r="G794" s="156"/>
      <c r="H794" s="156"/>
      <c r="I794" s="156"/>
      <c r="J794" s="157"/>
    </row>
    <row r="795" spans="1:10" ht="12.75" customHeight="1">
      <c r="A795" s="158"/>
      <c r="B795" s="156"/>
      <c r="C795" s="156"/>
      <c r="D795" s="156"/>
      <c r="E795" s="156"/>
      <c r="F795" s="156"/>
      <c r="G795" s="156"/>
      <c r="H795" s="156"/>
      <c r="I795" s="156"/>
      <c r="J795" s="157"/>
    </row>
    <row r="796" spans="1:10" ht="12.75" customHeight="1">
      <c r="A796" s="158"/>
      <c r="B796" s="156"/>
      <c r="C796" s="156"/>
      <c r="D796" s="156"/>
      <c r="E796" s="156"/>
      <c r="F796" s="156"/>
      <c r="G796" s="156"/>
      <c r="H796" s="156"/>
      <c r="I796" s="156"/>
      <c r="J796" s="157"/>
    </row>
    <row r="797" spans="1:10" ht="12.75" customHeight="1">
      <c r="A797" s="158"/>
      <c r="B797" s="156"/>
      <c r="C797" s="156"/>
      <c r="D797" s="156"/>
      <c r="E797" s="156"/>
      <c r="F797" s="156"/>
      <c r="G797" s="156"/>
      <c r="H797" s="156"/>
      <c r="I797" s="156"/>
      <c r="J797" s="157"/>
    </row>
    <row r="798" spans="1:10" ht="12.75" customHeight="1">
      <c r="A798" s="158"/>
      <c r="B798" s="156"/>
      <c r="C798" s="156"/>
      <c r="D798" s="156"/>
      <c r="E798" s="156"/>
      <c r="F798" s="156"/>
      <c r="G798" s="156"/>
      <c r="H798" s="156"/>
      <c r="I798" s="156"/>
      <c r="J798" s="157"/>
    </row>
    <row r="799" spans="1:10" ht="12.75" customHeight="1">
      <c r="A799" s="158"/>
      <c r="B799" s="156"/>
      <c r="C799" s="156"/>
      <c r="D799" s="156"/>
      <c r="E799" s="156"/>
      <c r="F799" s="156"/>
      <c r="G799" s="156"/>
      <c r="H799" s="156"/>
      <c r="I799" s="156"/>
      <c r="J799" s="157"/>
    </row>
    <row r="800" spans="1:10" ht="12.75" customHeight="1">
      <c r="A800" s="158"/>
      <c r="B800" s="156"/>
      <c r="C800" s="156"/>
      <c r="D800" s="156"/>
      <c r="E800" s="156"/>
      <c r="F800" s="156"/>
      <c r="G800" s="156"/>
      <c r="H800" s="156"/>
      <c r="I800" s="156"/>
      <c r="J800" s="157"/>
    </row>
    <row r="801" spans="1:10" ht="12.75" customHeight="1">
      <c r="A801" s="158"/>
      <c r="B801" s="156"/>
      <c r="C801" s="156"/>
      <c r="D801" s="156"/>
      <c r="E801" s="156"/>
      <c r="F801" s="156"/>
      <c r="G801" s="156"/>
      <c r="H801" s="156"/>
      <c r="I801" s="156"/>
      <c r="J801" s="157"/>
    </row>
    <row r="802" spans="1:10" ht="12.75" customHeight="1">
      <c r="A802" s="158"/>
      <c r="B802" s="156"/>
      <c r="C802" s="156"/>
      <c r="D802" s="156"/>
      <c r="E802" s="156"/>
      <c r="F802" s="156"/>
      <c r="G802" s="156"/>
      <c r="H802" s="156"/>
      <c r="I802" s="156"/>
      <c r="J802" s="157"/>
    </row>
    <row r="803" spans="1:10" ht="12.75" customHeight="1">
      <c r="A803" s="158"/>
      <c r="B803" s="156"/>
      <c r="C803" s="156"/>
      <c r="D803" s="156"/>
      <c r="E803" s="156"/>
      <c r="F803" s="156"/>
      <c r="G803" s="156"/>
      <c r="H803" s="156"/>
      <c r="I803" s="156"/>
      <c r="J803" s="157"/>
    </row>
    <row r="804" spans="1:10" ht="12.75" customHeight="1">
      <c r="A804" s="158"/>
      <c r="B804" s="156"/>
      <c r="C804" s="156"/>
      <c r="D804" s="156"/>
      <c r="E804" s="156"/>
      <c r="F804" s="156"/>
      <c r="G804" s="156"/>
      <c r="H804" s="156"/>
      <c r="I804" s="156"/>
      <c r="J804" s="157"/>
    </row>
    <row r="805" spans="1:10" ht="12.75" customHeight="1">
      <c r="A805" s="158"/>
      <c r="B805" s="156"/>
      <c r="C805" s="156"/>
      <c r="D805" s="156"/>
      <c r="E805" s="156"/>
      <c r="F805" s="156"/>
      <c r="G805" s="156"/>
      <c r="H805" s="156"/>
      <c r="I805" s="156"/>
      <c r="J805" s="157"/>
    </row>
    <row r="806" spans="1:10" ht="12.75" customHeight="1">
      <c r="A806" s="158"/>
      <c r="B806" s="156"/>
      <c r="C806" s="156"/>
      <c r="D806" s="156"/>
      <c r="E806" s="156"/>
      <c r="F806" s="156"/>
      <c r="G806" s="156"/>
      <c r="H806" s="156"/>
      <c r="I806" s="156"/>
      <c r="J806" s="157"/>
    </row>
    <row r="807" spans="1:10" ht="12.75" customHeight="1">
      <c r="A807" s="158"/>
      <c r="B807" s="156"/>
      <c r="C807" s="156"/>
      <c r="D807" s="156"/>
      <c r="E807" s="156"/>
      <c r="F807" s="156"/>
      <c r="G807" s="156"/>
      <c r="H807" s="156"/>
      <c r="I807" s="156"/>
      <c r="J807" s="157"/>
    </row>
    <row r="808" spans="1:10" ht="12.75" customHeight="1">
      <c r="A808" s="158"/>
      <c r="B808" s="156"/>
      <c r="C808" s="156"/>
      <c r="D808" s="156"/>
      <c r="E808" s="156"/>
      <c r="F808" s="156"/>
      <c r="G808" s="156"/>
      <c r="H808" s="156"/>
      <c r="I808" s="156"/>
      <c r="J808" s="157"/>
    </row>
    <row r="809" spans="1:10" ht="12.75" customHeight="1">
      <c r="A809" s="158"/>
      <c r="B809" s="156"/>
      <c r="C809" s="156"/>
      <c r="D809" s="156"/>
      <c r="E809" s="156"/>
      <c r="F809" s="156"/>
      <c r="G809" s="156"/>
      <c r="H809" s="156"/>
      <c r="I809" s="156"/>
      <c r="J809" s="157"/>
    </row>
    <row r="810" spans="1:10" ht="12.75" customHeight="1">
      <c r="A810" s="158"/>
      <c r="B810" s="156"/>
      <c r="C810" s="156"/>
      <c r="D810" s="156"/>
      <c r="E810" s="156"/>
      <c r="F810" s="156"/>
      <c r="G810" s="156"/>
      <c r="H810" s="156"/>
      <c r="I810" s="156"/>
      <c r="J810" s="157"/>
    </row>
    <row r="811" spans="1:10" ht="12.75" customHeight="1">
      <c r="A811" s="158"/>
      <c r="B811" s="156"/>
      <c r="C811" s="156"/>
      <c r="D811" s="156"/>
      <c r="E811" s="156"/>
      <c r="F811" s="156"/>
      <c r="G811" s="156"/>
      <c r="H811" s="156"/>
      <c r="I811" s="156"/>
      <c r="J811" s="157"/>
    </row>
    <row r="812" spans="1:10" ht="12.75" customHeight="1">
      <c r="A812" s="158"/>
      <c r="B812" s="156"/>
      <c r="C812" s="156"/>
      <c r="D812" s="156"/>
      <c r="E812" s="156"/>
      <c r="F812" s="156"/>
      <c r="G812" s="156"/>
      <c r="H812" s="156"/>
      <c r="I812" s="156"/>
      <c r="J812" s="157"/>
    </row>
    <row r="813" spans="1:10" ht="12.75" customHeight="1">
      <c r="A813" s="158"/>
      <c r="B813" s="156"/>
      <c r="C813" s="156"/>
      <c r="D813" s="156"/>
      <c r="E813" s="156"/>
      <c r="F813" s="156"/>
      <c r="G813" s="156"/>
      <c r="H813" s="156"/>
      <c r="I813" s="156"/>
      <c r="J813" s="157"/>
    </row>
    <row r="814" spans="1:10" ht="12.75" customHeight="1">
      <c r="A814" s="158"/>
      <c r="B814" s="156"/>
      <c r="C814" s="156"/>
      <c r="D814" s="156"/>
      <c r="E814" s="156"/>
      <c r="F814" s="156"/>
      <c r="G814" s="156"/>
      <c r="H814" s="156"/>
      <c r="I814" s="156"/>
      <c r="J814" s="157"/>
    </row>
    <row r="815" spans="1:10" ht="12.75" customHeight="1">
      <c r="A815" s="199"/>
      <c r="B815" s="167"/>
      <c r="C815" s="167"/>
      <c r="D815" s="167"/>
      <c r="E815" s="167"/>
      <c r="F815" s="167"/>
      <c r="G815" s="167"/>
      <c r="H815" s="167"/>
      <c r="I815" s="167"/>
      <c r="J815" s="168"/>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A568:J598"/>
    <mergeCell ref="A600:G600"/>
    <mergeCell ref="H600:J600"/>
    <mergeCell ref="I558:J558"/>
    <mergeCell ref="A559:D559"/>
    <mergeCell ref="E559:F559"/>
    <mergeCell ref="G563:H563"/>
    <mergeCell ref="I563:J563"/>
    <mergeCell ref="A564:J564"/>
    <mergeCell ref="A565:J565"/>
    <mergeCell ref="A566:J566"/>
    <mergeCell ref="A567:J567"/>
    <mergeCell ref="A563:D563"/>
    <mergeCell ref="E563:F563"/>
    <mergeCell ref="A562:D562"/>
    <mergeCell ref="E562:F562"/>
    <mergeCell ref="G562:H562"/>
    <mergeCell ref="I562:J562"/>
    <mergeCell ref="A560:D560"/>
    <mergeCell ref="E560:F560"/>
    <mergeCell ref="G560:H560"/>
    <mergeCell ref="I560:J560"/>
    <mergeCell ref="E561:F561"/>
    <mergeCell ref="G561:H561"/>
    <mergeCell ref="A507:D507"/>
    <mergeCell ref="E507:F507"/>
    <mergeCell ref="G507:H507"/>
    <mergeCell ref="I507:J507"/>
    <mergeCell ref="E508:F508"/>
    <mergeCell ref="G508:H508"/>
    <mergeCell ref="I508:J508"/>
    <mergeCell ref="A508:D508"/>
    <mergeCell ref="A509:D509"/>
    <mergeCell ref="E509:F509"/>
    <mergeCell ref="G509:H509"/>
    <mergeCell ref="I509:J509"/>
    <mergeCell ref="E504:F504"/>
    <mergeCell ref="G504:H504"/>
    <mergeCell ref="I504:J504"/>
    <mergeCell ref="A504:D504"/>
    <mergeCell ref="A505:D505"/>
    <mergeCell ref="E505:F505"/>
    <mergeCell ref="G505:H505"/>
    <mergeCell ref="I505:J505"/>
    <mergeCell ref="A506:D506"/>
    <mergeCell ref="E506:F506"/>
    <mergeCell ref="G506:H506"/>
    <mergeCell ref="I506:J506"/>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E392:F392"/>
    <mergeCell ref="G392:H392"/>
    <mergeCell ref="I392:J392"/>
    <mergeCell ref="G394:H394"/>
    <mergeCell ref="I394:J394"/>
    <mergeCell ref="A392:D392"/>
    <mergeCell ref="A393:D393"/>
    <mergeCell ref="E393:F393"/>
    <mergeCell ref="G393:H393"/>
    <mergeCell ref="I393:J393"/>
    <mergeCell ref="A394:D394"/>
    <mergeCell ref="E394:F394"/>
    <mergeCell ref="A404:J404"/>
    <mergeCell ref="A405:J405"/>
    <mergeCell ref="A406:J436"/>
    <mergeCell ref="A438:G438"/>
    <mergeCell ref="H438:J438"/>
    <mergeCell ref="A440:J440"/>
    <mergeCell ref="E441:J442"/>
    <mergeCell ref="E443:J443"/>
    <mergeCell ref="G449:H449"/>
    <mergeCell ref="I449:J449"/>
    <mergeCell ref="G447:H447"/>
    <mergeCell ref="I447:J447"/>
    <mergeCell ref="A445:D445"/>
    <mergeCell ref="A446:D446"/>
    <mergeCell ref="E446:F446"/>
    <mergeCell ref="G446:H446"/>
    <mergeCell ref="A449:D449"/>
    <mergeCell ref="E444:F444"/>
    <mergeCell ref="G444:H444"/>
    <mergeCell ref="I444:J444"/>
    <mergeCell ref="E445:F445"/>
    <mergeCell ref="G445:H445"/>
    <mergeCell ref="I445:J445"/>
    <mergeCell ref="E499:F499"/>
    <mergeCell ref="G499:H499"/>
    <mergeCell ref="A448:D448"/>
    <mergeCell ref="E448:F448"/>
    <mergeCell ref="G448:H448"/>
    <mergeCell ref="I448:J448"/>
    <mergeCell ref="E449:F449"/>
    <mergeCell ref="A441:D441"/>
    <mergeCell ref="A442:D442"/>
    <mergeCell ref="A443:D443"/>
    <mergeCell ref="E453:F453"/>
    <mergeCell ref="G453:H453"/>
    <mergeCell ref="I453:J453"/>
    <mergeCell ref="A453:D453"/>
    <mergeCell ref="A454:D454"/>
    <mergeCell ref="E454:F454"/>
    <mergeCell ref="G454:H454"/>
    <mergeCell ref="I454:J454"/>
    <mergeCell ref="A455:D455"/>
    <mergeCell ref="E455:F455"/>
    <mergeCell ref="G455:H455"/>
    <mergeCell ref="I455:J455"/>
    <mergeCell ref="G451:H451"/>
    <mergeCell ref="I451:J451"/>
    <mergeCell ref="E551:J551"/>
    <mergeCell ref="E552:F552"/>
    <mergeCell ref="G552:H552"/>
    <mergeCell ref="I552:J552"/>
    <mergeCell ref="E553:F553"/>
    <mergeCell ref="G553:H553"/>
    <mergeCell ref="I553:J553"/>
    <mergeCell ref="A510:J510"/>
    <mergeCell ref="A511:J511"/>
    <mergeCell ref="G555:H555"/>
    <mergeCell ref="I555:J555"/>
    <mergeCell ref="A553:D553"/>
    <mergeCell ref="A554:D554"/>
    <mergeCell ref="E554:F554"/>
    <mergeCell ref="G554:H554"/>
    <mergeCell ref="I554:J554"/>
    <mergeCell ref="A555:D555"/>
    <mergeCell ref="E555:F555"/>
    <mergeCell ref="A556:D556"/>
    <mergeCell ref="E556:F556"/>
    <mergeCell ref="G556:H556"/>
    <mergeCell ref="I556:J556"/>
    <mergeCell ref="E557:F557"/>
    <mergeCell ref="G557:H557"/>
    <mergeCell ref="I557:J557"/>
    <mergeCell ref="G559:H559"/>
    <mergeCell ref="I559:J559"/>
    <mergeCell ref="A557:D557"/>
    <mergeCell ref="A558:D558"/>
    <mergeCell ref="E558:F558"/>
    <mergeCell ref="G558:H558"/>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A399:D399"/>
    <mergeCell ref="E399:F399"/>
    <mergeCell ref="G399:H399"/>
    <mergeCell ref="I399:J399"/>
    <mergeCell ref="E400:F400"/>
    <mergeCell ref="G400:H400"/>
    <mergeCell ref="I400:J400"/>
    <mergeCell ref="A400:D400"/>
    <mergeCell ref="A401:D401"/>
    <mergeCell ref="E401:F401"/>
    <mergeCell ref="G401:H401"/>
    <mergeCell ref="I401:J401"/>
    <mergeCell ref="A452:D452"/>
    <mergeCell ref="E452:F452"/>
    <mergeCell ref="G452:H452"/>
    <mergeCell ref="I452:J452"/>
    <mergeCell ref="I446:J446"/>
    <mergeCell ref="A447:D447"/>
    <mergeCell ref="E447:F447"/>
    <mergeCell ref="A450:D450"/>
    <mergeCell ref="E450:F450"/>
    <mergeCell ref="G450:H450"/>
    <mergeCell ref="I450:J450"/>
    <mergeCell ref="A451:D451"/>
    <mergeCell ref="E451:F451"/>
    <mergeCell ref="E396:F396"/>
    <mergeCell ref="G396:H396"/>
    <mergeCell ref="I396:J396"/>
    <mergeCell ref="A396:D396"/>
    <mergeCell ref="A397:D397"/>
    <mergeCell ref="E397:F397"/>
    <mergeCell ref="G397:H397"/>
    <mergeCell ref="I397:J397"/>
    <mergeCell ref="A398:D398"/>
    <mergeCell ref="E398:F398"/>
    <mergeCell ref="G398:H398"/>
    <mergeCell ref="I398:J398"/>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G341:H341"/>
    <mergeCell ref="I341:J341"/>
    <mergeCell ref="G343:H343"/>
    <mergeCell ref="I343:J343"/>
    <mergeCell ref="A341:D341"/>
    <mergeCell ref="A342:D342"/>
    <mergeCell ref="E342:F342"/>
    <mergeCell ref="G342:H342"/>
    <mergeCell ref="I342:J342"/>
    <mergeCell ref="A343:D343"/>
    <mergeCell ref="E343:F343"/>
    <mergeCell ref="E345:F345"/>
    <mergeCell ref="G345:H345"/>
    <mergeCell ref="I345:J345"/>
    <mergeCell ref="A345:D345"/>
    <mergeCell ref="A346:D346"/>
    <mergeCell ref="E346:F346"/>
    <mergeCell ref="G346:H346"/>
    <mergeCell ref="I346:J346"/>
    <mergeCell ref="A347:D347"/>
    <mergeCell ref="E347:F347"/>
    <mergeCell ref="G347:H347"/>
    <mergeCell ref="I347:J34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G285:H285"/>
    <mergeCell ref="I285:J285"/>
    <mergeCell ref="G287:H287"/>
    <mergeCell ref="I287:J287"/>
    <mergeCell ref="A285:D285"/>
    <mergeCell ref="A286:D286"/>
    <mergeCell ref="E286:F286"/>
    <mergeCell ref="G286:H286"/>
    <mergeCell ref="I286:J286"/>
    <mergeCell ref="A287:D287"/>
    <mergeCell ref="E287:F287"/>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A292:D292"/>
    <mergeCell ref="E292:F292"/>
    <mergeCell ref="G292:H292"/>
    <mergeCell ref="I292:J292"/>
    <mergeCell ref="E293:F293"/>
    <mergeCell ref="G293:H293"/>
    <mergeCell ref="I293:J293"/>
    <mergeCell ref="A293:D293"/>
    <mergeCell ref="A294:D294"/>
    <mergeCell ref="E294:F294"/>
    <mergeCell ref="G294:H294"/>
    <mergeCell ref="I294:J294"/>
    <mergeCell ref="E289:F289"/>
    <mergeCell ref="G289:H289"/>
    <mergeCell ref="I289:J289"/>
    <mergeCell ref="A289:D289"/>
    <mergeCell ref="A290:D290"/>
    <mergeCell ref="E290:F290"/>
    <mergeCell ref="G290:H290"/>
    <mergeCell ref="I290:J290"/>
    <mergeCell ref="A291:D291"/>
    <mergeCell ref="E291:F291"/>
    <mergeCell ref="G291:H291"/>
    <mergeCell ref="I291:J291"/>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G175:H175"/>
    <mergeCell ref="I175:J175"/>
    <mergeCell ref="G177:H177"/>
    <mergeCell ref="I177:J177"/>
    <mergeCell ref="A175:D175"/>
    <mergeCell ref="A176:D176"/>
    <mergeCell ref="E176:F176"/>
    <mergeCell ref="G176:H176"/>
    <mergeCell ref="I176:J176"/>
    <mergeCell ref="A177:D177"/>
    <mergeCell ref="E177:F177"/>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A182:D182"/>
    <mergeCell ref="E182:F182"/>
    <mergeCell ref="G182:H182"/>
    <mergeCell ref="I182:J182"/>
    <mergeCell ref="E183:F183"/>
    <mergeCell ref="G183:H183"/>
    <mergeCell ref="I183:J183"/>
    <mergeCell ref="A183:D183"/>
    <mergeCell ref="A184:D184"/>
    <mergeCell ref="E184:F184"/>
    <mergeCell ref="G184:H184"/>
    <mergeCell ref="I184:J184"/>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G121:H121"/>
    <mergeCell ref="I121:J121"/>
    <mergeCell ref="A119:D119"/>
    <mergeCell ref="A120:D120"/>
    <mergeCell ref="E120:F120"/>
    <mergeCell ref="G120:H120"/>
    <mergeCell ref="I120:J120"/>
    <mergeCell ref="A121:D121"/>
    <mergeCell ref="E121:F121"/>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233:H233"/>
    <mergeCell ref="I233:J233"/>
    <mergeCell ref="G235:H235"/>
    <mergeCell ref="I235:J235"/>
    <mergeCell ref="A233:D233"/>
    <mergeCell ref="A234:D234"/>
    <mergeCell ref="E234:F234"/>
    <mergeCell ref="G234:H234"/>
    <mergeCell ref="I234:J234"/>
    <mergeCell ref="A235:D235"/>
    <mergeCell ref="E235:F235"/>
    <mergeCell ref="E237:F237"/>
    <mergeCell ref="G237:H237"/>
    <mergeCell ref="I237:J237"/>
    <mergeCell ref="A237:D237"/>
    <mergeCell ref="A238:D238"/>
    <mergeCell ref="E238:F238"/>
    <mergeCell ref="G238:H238"/>
    <mergeCell ref="I238:J238"/>
    <mergeCell ref="A239:D239"/>
    <mergeCell ref="E239:F239"/>
    <mergeCell ref="G239:H239"/>
    <mergeCell ref="I239:J239"/>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A75:J75"/>
    <mergeCell ref="A115:D115"/>
    <mergeCell ref="A116:D116"/>
    <mergeCell ref="A117:D117"/>
    <mergeCell ref="A76:J76"/>
    <mergeCell ref="A77:J77"/>
    <mergeCell ref="A78:J110"/>
    <mergeCell ref="A112:G112"/>
    <mergeCell ref="H112:J112"/>
    <mergeCell ref="A114:J114"/>
    <mergeCell ref="E115:J116"/>
    <mergeCell ref="E117:J117"/>
    <mergeCell ref="E72:F72"/>
    <mergeCell ref="G72:H72"/>
    <mergeCell ref="I72:J72"/>
    <mergeCell ref="A72:D72"/>
    <mergeCell ref="A73:D73"/>
    <mergeCell ref="E73:F73"/>
    <mergeCell ref="G73:H73"/>
    <mergeCell ref="I73:J73"/>
    <mergeCell ref="A74:J74"/>
    <mergeCell ref="A69:D69"/>
    <mergeCell ref="E69:F69"/>
    <mergeCell ref="G69:H69"/>
    <mergeCell ref="I69:J69"/>
    <mergeCell ref="A70:D70"/>
    <mergeCell ref="E70:F70"/>
    <mergeCell ref="A71:D71"/>
    <mergeCell ref="E71:F71"/>
    <mergeCell ref="G71:H71"/>
    <mergeCell ref="I71:J71"/>
    <mergeCell ref="G70:H70"/>
    <mergeCell ref="I70:J70"/>
    <mergeCell ref="A58:J58"/>
    <mergeCell ref="A59:D59"/>
    <mergeCell ref="E59:J60"/>
    <mergeCell ref="A60:D60"/>
    <mergeCell ref="A61:D61"/>
    <mergeCell ref="E61:J61"/>
    <mergeCell ref="E62:F62"/>
    <mergeCell ref="A63:D63"/>
    <mergeCell ref="E63:F63"/>
    <mergeCell ref="G63:H63"/>
    <mergeCell ref="I63:J63"/>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E9:F9"/>
    <mergeCell ref="G9:H9"/>
    <mergeCell ref="I9:J9"/>
    <mergeCell ref="A10:D10"/>
    <mergeCell ref="E10:F10"/>
    <mergeCell ref="A11:D11"/>
    <mergeCell ref="E11:F11"/>
    <mergeCell ref="G11:H11"/>
    <mergeCell ref="I11:J11"/>
    <mergeCell ref="A1:G1"/>
    <mergeCell ref="H1:J1"/>
    <mergeCell ref="A3:J3"/>
    <mergeCell ref="A4:D4"/>
    <mergeCell ref="E4:J5"/>
    <mergeCell ref="A5:D5"/>
    <mergeCell ref="A6:D6"/>
    <mergeCell ref="E6:J6"/>
    <mergeCell ref="E7:F7"/>
    <mergeCell ref="G7:H7"/>
    <mergeCell ref="I7:J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E666:F666"/>
    <mergeCell ref="G666:H666"/>
    <mergeCell ref="G663:H663"/>
    <mergeCell ref="I663:J663"/>
    <mergeCell ref="A661:D661"/>
    <mergeCell ref="A662:D662"/>
    <mergeCell ref="E662:F662"/>
    <mergeCell ref="G662:H662"/>
    <mergeCell ref="I662:J662"/>
    <mergeCell ref="A663:D663"/>
    <mergeCell ref="E663:F663"/>
    <mergeCell ref="I666:J666"/>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E614:F614"/>
    <mergeCell ref="G613:H613"/>
    <mergeCell ref="I613:J613"/>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780:J780"/>
    <mergeCell ref="A774:D774"/>
    <mergeCell ref="E774:F774"/>
    <mergeCell ref="G774:H774"/>
    <mergeCell ref="A776:D776"/>
    <mergeCell ref="E776:F776"/>
    <mergeCell ref="G776:H776"/>
    <mergeCell ref="I776:J776"/>
    <mergeCell ref="E777:F777"/>
    <mergeCell ref="G777:H777"/>
    <mergeCell ref="I777:J777"/>
    <mergeCell ref="A777:D777"/>
    <mergeCell ref="A778:D778"/>
    <mergeCell ref="E778:F778"/>
    <mergeCell ref="G778:H778"/>
    <mergeCell ref="I778:J778"/>
    <mergeCell ref="I775:J775"/>
    <mergeCell ref="A773:D773"/>
    <mergeCell ref="A654:G654"/>
    <mergeCell ref="H654:J654"/>
    <mergeCell ref="A656:J656"/>
    <mergeCell ref="I774:J774"/>
    <mergeCell ref="A775:D775"/>
    <mergeCell ref="E775:F775"/>
    <mergeCell ref="G768:H768"/>
    <mergeCell ref="I768:J768"/>
    <mergeCell ref="I769:J769"/>
    <mergeCell ref="E724:F724"/>
    <mergeCell ref="G724:H724"/>
    <mergeCell ref="I724:J724"/>
    <mergeCell ref="A726:J726"/>
    <mergeCell ref="A727:J727"/>
    <mergeCell ref="A722:D722"/>
    <mergeCell ref="A765:D765"/>
    <mergeCell ref="A766:D766"/>
    <mergeCell ref="A767:D767"/>
    <mergeCell ref="G779:H779"/>
    <mergeCell ref="I779:J779"/>
    <mergeCell ref="E670:F670"/>
    <mergeCell ref="G670:H670"/>
    <mergeCell ref="I670:J670"/>
    <mergeCell ref="A664:D664"/>
    <mergeCell ref="E664:F664"/>
    <mergeCell ref="G664:H664"/>
    <mergeCell ref="I664:J664"/>
    <mergeCell ref="E665:F665"/>
    <mergeCell ref="G665:H665"/>
    <mergeCell ref="I665:J665"/>
    <mergeCell ref="G667:H667"/>
    <mergeCell ref="I667:J667"/>
    <mergeCell ref="A665:D665"/>
    <mergeCell ref="A666:D666"/>
    <mergeCell ref="H762:J762"/>
    <mergeCell ref="A764:J764"/>
    <mergeCell ref="A718:D718"/>
    <mergeCell ref="E718:F718"/>
    <mergeCell ref="G722:H722"/>
    <mergeCell ref="I722:J722"/>
    <mergeCell ref="E767:J767"/>
    <mergeCell ref="E768:F768"/>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E769:F769"/>
    <mergeCell ref="G769:H769"/>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G714:H714"/>
    <mergeCell ref="I714:J714"/>
    <mergeCell ref="A710:J710"/>
    <mergeCell ref="A711:D711"/>
    <mergeCell ref="E711:J712"/>
    <mergeCell ref="A712:D712"/>
    <mergeCell ref="A713:D713"/>
    <mergeCell ref="E713:J713"/>
    <mergeCell ref="E714:F714"/>
    <mergeCell ref="A728:J728"/>
    <mergeCell ref="A729:J729"/>
    <mergeCell ref="A730:J760"/>
    <mergeCell ref="A762:G762"/>
    <mergeCell ref="E765:J766"/>
    <mergeCell ref="E720:F720"/>
    <mergeCell ref="G720:H720"/>
    <mergeCell ref="I720:J720"/>
    <mergeCell ref="A720:D720"/>
  </mergeCells>
  <dataValidations count="6">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776:E778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xr:uid="{00000000-0002-0000-0600-000004000000}">
      <formula1>0</formula1>
      <formula2>50000000</formula2>
    </dataValidation>
    <dataValidation type="whole" allowBlank="1" showInputMessage="1" showErrorMessage="1" error="Must enter amount in whole dollars." sqref="E8:F13" xr:uid="{6F2C4A8B-8882-477D-9E74-E00120980955}">
      <formula1>0</formula1>
      <formula2>50000000</formula2>
    </dataValidation>
  </dataValidations>
  <pageMargins left="0.7" right="0.7" top="0.75" bottom="0.75" header="0" footer="0"/>
  <pageSetup orientation="portrait" r:id="rId1"/>
  <headerFooter>
    <oddFooter>&amp;L&amp;F</oddFooter>
  </headerFooter>
  <rowBreaks count="1" manualBreakCount="1">
    <brk id="5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4296875" defaultRowHeight="15" customHeight="1"/>
  <cols>
    <col min="1" max="1" width="6.453125" customWidth="1"/>
    <col min="2" max="4" width="8.81640625" customWidth="1"/>
    <col min="5" max="5" width="7.54296875" customWidth="1"/>
    <col min="6" max="6" width="6.453125" customWidth="1"/>
    <col min="7" max="7" width="5.54296875" customWidth="1"/>
    <col min="8" max="26" width="8.81640625" customWidth="1"/>
  </cols>
  <sheetData>
    <row r="1" spans="1:26" ht="36" customHeight="1">
      <c r="A1" s="280" t="s">
        <v>215</v>
      </c>
      <c r="B1" s="281"/>
      <c r="C1" s="281"/>
      <c r="D1" s="281"/>
      <c r="E1" s="281"/>
      <c r="F1" s="281"/>
      <c r="G1" s="281"/>
      <c r="H1" s="281"/>
      <c r="I1" s="281"/>
      <c r="J1" s="282"/>
      <c r="K1" s="112"/>
      <c r="L1" s="112"/>
      <c r="M1" s="112"/>
      <c r="N1" s="112"/>
      <c r="O1" s="112"/>
      <c r="P1" s="112"/>
      <c r="Q1" s="112"/>
      <c r="R1" s="112"/>
      <c r="S1" s="112"/>
      <c r="T1" s="112"/>
      <c r="U1" s="112"/>
      <c r="V1" s="112"/>
      <c r="W1" s="112"/>
      <c r="X1" s="112"/>
      <c r="Y1" s="112"/>
      <c r="Z1" s="112"/>
    </row>
    <row r="2" spans="1:26" ht="12.75" customHeight="1"/>
    <row r="3" spans="1:26" ht="12.75" customHeight="1">
      <c r="A3" s="207" t="s">
        <v>16</v>
      </c>
      <c r="B3" s="152"/>
      <c r="C3" s="152"/>
      <c r="D3" s="152"/>
      <c r="E3" s="152"/>
      <c r="F3" s="152"/>
      <c r="G3" s="181"/>
      <c r="H3" s="283" t="str">
        <f>'CONTACT INFORMATION'!$A$24</f>
        <v>Humboldt</v>
      </c>
      <c r="I3" s="152"/>
      <c r="J3" s="153"/>
    </row>
    <row r="4" spans="1:26" ht="12.75" customHeight="1">
      <c r="A4" s="29"/>
      <c r="B4" s="29"/>
      <c r="C4" s="29"/>
      <c r="D4" s="29"/>
      <c r="E4" s="29"/>
      <c r="F4" s="29"/>
      <c r="G4" s="29"/>
      <c r="H4" s="30"/>
      <c r="I4" s="30"/>
      <c r="J4" s="30"/>
    </row>
    <row r="5" spans="1:26" ht="12.75" customHeight="1">
      <c r="A5" s="66"/>
      <c r="B5" s="66"/>
      <c r="C5" s="66"/>
      <c r="D5" s="66"/>
      <c r="E5" s="66"/>
      <c r="F5" s="66"/>
      <c r="G5" s="66"/>
      <c r="H5" s="66"/>
      <c r="I5" s="66"/>
      <c r="J5" s="66"/>
    </row>
    <row r="6" spans="1:26" ht="73.5" customHeight="1">
      <c r="A6" s="284" t="s">
        <v>216</v>
      </c>
      <c r="B6" s="171"/>
      <c r="C6" s="171"/>
      <c r="D6" s="171"/>
      <c r="E6" s="171"/>
      <c r="F6" s="171"/>
      <c r="G6" s="171"/>
      <c r="H6" s="171"/>
      <c r="I6" s="171"/>
      <c r="J6" s="285"/>
    </row>
    <row r="7" spans="1:26" ht="12.75" customHeight="1"/>
    <row r="8" spans="1:26" ht="12.75" customHeight="1"/>
    <row r="9" spans="1:26" ht="22.5" customHeight="1">
      <c r="A9" s="286" t="s">
        <v>217</v>
      </c>
      <c r="B9" s="156"/>
      <c r="C9" s="157"/>
      <c r="D9" s="113" t="s">
        <v>25</v>
      </c>
      <c r="G9" s="286" t="s">
        <v>218</v>
      </c>
      <c r="H9" s="156"/>
      <c r="I9" s="157"/>
      <c r="J9" s="113" t="s">
        <v>25</v>
      </c>
    </row>
    <row r="10" spans="1:26" ht="12.75" customHeight="1">
      <c r="A10" s="244" t="s">
        <v>219</v>
      </c>
      <c r="B10" s="156"/>
      <c r="C10" s="157"/>
      <c r="D10" s="114">
        <f>'REPORT 1'!$I$16</f>
        <v>234</v>
      </c>
      <c r="E10" s="42"/>
      <c r="G10" s="244" t="s">
        <v>219</v>
      </c>
      <c r="H10" s="156"/>
      <c r="I10" s="157"/>
      <c r="J10" s="114">
        <f>'REPORT 1'!$I$27</f>
        <v>234</v>
      </c>
    </row>
    <row r="11" spans="1:26" ht="12.75" customHeight="1"/>
    <row r="12" spans="1:26" ht="12.75" customHeight="1">
      <c r="A12" s="66"/>
      <c r="B12" s="66"/>
      <c r="C12" s="66"/>
      <c r="D12" s="66"/>
      <c r="E12" s="66"/>
      <c r="F12" s="66"/>
      <c r="G12" s="66"/>
      <c r="H12" s="66"/>
      <c r="I12" s="66"/>
      <c r="J12" s="66"/>
    </row>
    <row r="13" spans="1:26" ht="73.5" customHeight="1">
      <c r="A13" s="284" t="s">
        <v>220</v>
      </c>
      <c r="B13" s="171"/>
      <c r="C13" s="171"/>
      <c r="D13" s="171"/>
      <c r="E13" s="171"/>
      <c r="F13" s="171"/>
      <c r="G13" s="171"/>
      <c r="H13" s="171"/>
      <c r="I13" s="171"/>
      <c r="J13" s="285"/>
    </row>
    <row r="14" spans="1:26" ht="12.75" customHeight="1"/>
    <row r="15" spans="1:26" ht="12.75" customHeight="1"/>
    <row r="16" spans="1:26" ht="22.5" customHeight="1">
      <c r="A16" s="286" t="s">
        <v>36</v>
      </c>
      <c r="B16" s="156"/>
      <c r="C16" s="157"/>
      <c r="D16" s="113" t="s">
        <v>25</v>
      </c>
      <c r="G16" s="286" t="s">
        <v>217</v>
      </c>
      <c r="H16" s="156"/>
      <c r="I16" s="157"/>
      <c r="J16" s="113" t="s">
        <v>25</v>
      </c>
    </row>
    <row r="17" spans="1:10" ht="12.75" customHeight="1">
      <c r="D17" s="114">
        <f>'REPORT 3'!$J$9</f>
        <v>44</v>
      </c>
      <c r="G17" s="287" t="s">
        <v>219</v>
      </c>
      <c r="H17" s="156"/>
      <c r="I17" s="157"/>
      <c r="J17" s="114">
        <f>'REPORT 3'!$J$34</f>
        <v>44</v>
      </c>
    </row>
    <row r="18" spans="1:10" ht="12.75" customHeight="1">
      <c r="A18" s="115"/>
      <c r="B18" s="115"/>
      <c r="C18" s="115"/>
    </row>
    <row r="19" spans="1:10" ht="12.75" customHeight="1">
      <c r="A19" s="115"/>
      <c r="B19" s="115"/>
      <c r="C19" s="115"/>
    </row>
    <row r="20" spans="1:10" ht="22.5" customHeight="1">
      <c r="A20" s="286" t="s">
        <v>44</v>
      </c>
      <c r="B20" s="156"/>
      <c r="C20" s="157"/>
      <c r="D20" s="113" t="s">
        <v>25</v>
      </c>
      <c r="G20" s="286" t="s">
        <v>218</v>
      </c>
      <c r="H20" s="156"/>
      <c r="I20" s="157"/>
      <c r="J20" s="113" t="s">
        <v>25</v>
      </c>
    </row>
    <row r="21" spans="1:10" ht="12.75" customHeight="1">
      <c r="A21" s="244"/>
      <c r="B21" s="156"/>
      <c r="C21" s="157"/>
      <c r="D21" s="114">
        <f>'REPORT 3'!$J$26</f>
        <v>3</v>
      </c>
      <c r="G21" s="287" t="s">
        <v>219</v>
      </c>
      <c r="H21" s="156"/>
      <c r="I21" s="157"/>
      <c r="J21" s="114">
        <f>'REPORT 3'!$J$44</f>
        <v>44</v>
      </c>
    </row>
    <row r="22" spans="1:10" ht="12.75" customHeight="1">
      <c r="A22" s="115"/>
      <c r="B22" s="115"/>
      <c r="C22" s="115"/>
    </row>
    <row r="23" spans="1:10" ht="12.75" customHeight="1"/>
    <row r="24" spans="1:10" ht="70.5" customHeight="1">
      <c r="A24" s="288" t="s">
        <v>221</v>
      </c>
      <c r="B24" s="171"/>
      <c r="C24" s="171"/>
      <c r="D24" s="171"/>
      <c r="E24" s="171"/>
      <c r="F24" s="171"/>
      <c r="G24" s="171"/>
      <c r="H24" s="171"/>
      <c r="I24" s="171"/>
      <c r="J24" s="285"/>
    </row>
    <row r="25" spans="1:10" ht="12.75" customHeight="1"/>
    <row r="26" spans="1:10" ht="12.75" customHeight="1"/>
    <row r="27" spans="1:10" ht="22.5" customHeight="1">
      <c r="A27" s="286" t="s">
        <v>58</v>
      </c>
      <c r="B27" s="156"/>
      <c r="C27" s="156"/>
      <c r="D27" s="116" t="s">
        <v>25</v>
      </c>
      <c r="G27" s="286" t="s">
        <v>217</v>
      </c>
      <c r="H27" s="156"/>
      <c r="I27" s="157"/>
      <c r="J27" s="116" t="s">
        <v>25</v>
      </c>
    </row>
    <row r="28" spans="1:10" ht="15" customHeight="1">
      <c r="D28" s="114">
        <f>'ARREST REPORT'!$G$12</f>
        <v>110</v>
      </c>
      <c r="G28" s="287" t="s">
        <v>219</v>
      </c>
      <c r="H28" s="156"/>
      <c r="I28" s="157"/>
      <c r="J28" s="114">
        <f>'ARREST REPORT'!$G$18</f>
        <v>0</v>
      </c>
    </row>
    <row r="29" spans="1:10" ht="12.75" customHeight="1"/>
    <row r="30" spans="1:10" ht="12.75" customHeight="1"/>
    <row r="31" spans="1:10" ht="12.75" customHeight="1">
      <c r="G31" s="286" t="s">
        <v>218</v>
      </c>
      <c r="H31" s="156"/>
      <c r="I31" s="157"/>
      <c r="J31" s="116" t="s">
        <v>25</v>
      </c>
    </row>
    <row r="32" spans="1:10" ht="12.75" customHeight="1">
      <c r="G32" s="287" t="s">
        <v>219</v>
      </c>
      <c r="H32" s="156"/>
      <c r="I32" s="157"/>
      <c r="J32" s="114">
        <f>'ARREST REPORT'!$G$26</f>
        <v>0</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 ref="A1:J1"/>
    <mergeCell ref="A3:G3"/>
    <mergeCell ref="H3:J3"/>
    <mergeCell ref="A6:J6"/>
    <mergeCell ref="A9:C9"/>
    <mergeCell ref="G9:I9"/>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4296875" defaultRowHeight="15" customHeight="1"/>
  <cols>
    <col min="1" max="1" width="36.1796875" customWidth="1"/>
    <col min="2" max="26" width="8.81640625" customWidth="1"/>
  </cols>
  <sheetData>
    <row r="1" spans="1:1" ht="13.5" customHeight="1">
      <c r="A1" s="115" t="s">
        <v>72</v>
      </c>
    </row>
    <row r="2" spans="1:1" ht="13.5" customHeight="1">
      <c r="A2" s="115" t="s">
        <v>74</v>
      </c>
    </row>
    <row r="3" spans="1:1" ht="13.5" customHeight="1">
      <c r="A3" s="115" t="s">
        <v>76</v>
      </c>
    </row>
    <row r="4" spans="1:1" ht="13.5" customHeight="1">
      <c r="A4" s="115" t="s">
        <v>78</v>
      </c>
    </row>
    <row r="5" spans="1:1" ht="13.5" customHeight="1">
      <c r="A5" s="115" t="s">
        <v>73</v>
      </c>
    </row>
    <row r="6" spans="1:1" ht="13.5" customHeight="1">
      <c r="A6" s="115" t="s">
        <v>75</v>
      </c>
    </row>
    <row r="7" spans="1:1" ht="13.5" customHeight="1">
      <c r="A7" s="115" t="s">
        <v>77</v>
      </c>
    </row>
    <row r="8" spans="1:1" ht="13.5" customHeight="1">
      <c r="A8" s="115" t="s">
        <v>80</v>
      </c>
    </row>
    <row r="9" spans="1:1" ht="13.5" customHeight="1">
      <c r="A9" s="115" t="s">
        <v>83</v>
      </c>
    </row>
    <row r="10" spans="1:1" ht="13.5" customHeight="1">
      <c r="A10" s="115" t="s">
        <v>85</v>
      </c>
    </row>
    <row r="11" spans="1:1" ht="13.5" customHeight="1">
      <c r="A11" s="115" t="s">
        <v>87</v>
      </c>
    </row>
    <row r="12" spans="1:1" ht="13.5" customHeight="1">
      <c r="A12" s="115" t="s">
        <v>89</v>
      </c>
    </row>
    <row r="13" spans="1:1" ht="13.5" customHeight="1">
      <c r="A13" s="115" t="s">
        <v>91</v>
      </c>
    </row>
    <row r="14" spans="1:1" ht="13.5" customHeight="1">
      <c r="A14" s="115" t="s">
        <v>93</v>
      </c>
    </row>
    <row r="15" spans="1:1" ht="13.5" customHeight="1">
      <c r="A15" s="115" t="s">
        <v>95</v>
      </c>
    </row>
    <row r="16" spans="1:1" ht="13.5" customHeight="1">
      <c r="A16" s="115" t="s">
        <v>97</v>
      </c>
    </row>
    <row r="17" spans="1:1" ht="13.5" customHeight="1">
      <c r="A17" s="115" t="s">
        <v>99</v>
      </c>
    </row>
    <row r="18" spans="1:1" ht="13.5" customHeight="1">
      <c r="A18" s="115" t="s">
        <v>101</v>
      </c>
    </row>
    <row r="19" spans="1:1" ht="13.5" customHeight="1">
      <c r="A19" s="115" t="s">
        <v>103</v>
      </c>
    </row>
    <row r="20" spans="1:1" ht="13.5" customHeight="1">
      <c r="A20" s="115" t="s">
        <v>105</v>
      </c>
    </row>
    <row r="21" spans="1:1" ht="13.5" customHeight="1">
      <c r="A21" s="115" t="s">
        <v>107</v>
      </c>
    </row>
    <row r="22" spans="1:1" ht="13.5" customHeight="1">
      <c r="A22" s="115" t="s">
        <v>109</v>
      </c>
    </row>
    <row r="23" spans="1:1" ht="13.5" customHeight="1">
      <c r="A23" s="115" t="s">
        <v>111</v>
      </c>
    </row>
    <row r="24" spans="1:1" ht="13.5" customHeight="1">
      <c r="A24" s="115" t="s">
        <v>113</v>
      </c>
    </row>
    <row r="25" spans="1:1" ht="13.5" customHeight="1">
      <c r="A25" s="115" t="s">
        <v>115</v>
      </c>
    </row>
    <row r="26" spans="1:1" ht="13.5" customHeight="1">
      <c r="A26" s="115" t="s">
        <v>222</v>
      </c>
    </row>
    <row r="27" spans="1:1" ht="13.5" customHeight="1">
      <c r="A27" s="115" t="s">
        <v>86</v>
      </c>
    </row>
    <row r="28" spans="1:1" ht="13.5" customHeight="1">
      <c r="A28" s="115" t="s">
        <v>88</v>
      </c>
    </row>
    <row r="29" spans="1:1" ht="13.5" customHeight="1">
      <c r="A29" s="115" t="s">
        <v>90</v>
      </c>
    </row>
    <row r="30" spans="1:1" ht="13.5" customHeight="1">
      <c r="A30" s="115" t="s">
        <v>92</v>
      </c>
    </row>
    <row r="31" spans="1:1" ht="13.5" customHeight="1">
      <c r="A31" s="115" t="s">
        <v>94</v>
      </c>
    </row>
    <row r="32" spans="1:1" ht="13.5" customHeight="1">
      <c r="A32" s="115" t="s">
        <v>96</v>
      </c>
    </row>
    <row r="33" spans="1:1" ht="13.5" customHeight="1">
      <c r="A33" s="115" t="s">
        <v>98</v>
      </c>
    </row>
    <row r="34" spans="1:1" ht="13.5" customHeight="1">
      <c r="A34" s="115" t="s">
        <v>100</v>
      </c>
    </row>
    <row r="35" spans="1:1" ht="13.5" customHeight="1">
      <c r="A35" s="115" t="s">
        <v>102</v>
      </c>
    </row>
    <row r="36" spans="1:1" ht="13.5" customHeight="1">
      <c r="A36" s="115" t="s">
        <v>104</v>
      </c>
    </row>
    <row r="37" spans="1:1" ht="13.5" customHeight="1">
      <c r="A37" s="115" t="s">
        <v>106</v>
      </c>
    </row>
    <row r="38" spans="1:1" ht="13.5" customHeight="1">
      <c r="A38" s="115" t="s">
        <v>108</v>
      </c>
    </row>
    <row r="39" spans="1:1" ht="13.5" customHeight="1">
      <c r="A39" s="115" t="s">
        <v>110</v>
      </c>
    </row>
    <row r="40" spans="1:1" ht="13.5" customHeight="1">
      <c r="A40" s="115" t="s">
        <v>112</v>
      </c>
    </row>
    <row r="41" spans="1:1" ht="13.5" customHeight="1">
      <c r="A41" s="115" t="s">
        <v>114</v>
      </c>
    </row>
    <row r="42" spans="1:1" ht="13.5" customHeight="1">
      <c r="A42" s="115" t="s">
        <v>116</v>
      </c>
    </row>
    <row r="43" spans="1:1" ht="13.5" customHeight="1">
      <c r="A43" s="115" t="s">
        <v>117</v>
      </c>
    </row>
    <row r="44" spans="1:1" ht="13.5" customHeight="1">
      <c r="A44" s="115" t="s">
        <v>119</v>
      </c>
    </row>
    <row r="45" spans="1:1" ht="13.5" customHeight="1">
      <c r="A45" s="115" t="s">
        <v>122</v>
      </c>
    </row>
    <row r="46" spans="1:1" ht="13.5" customHeight="1">
      <c r="A46" s="115" t="s">
        <v>125</v>
      </c>
    </row>
    <row r="47" spans="1:1" ht="13.5" customHeight="1">
      <c r="A47" s="115" t="s">
        <v>128</v>
      </c>
    </row>
    <row r="48" spans="1:1" ht="13.5" customHeight="1">
      <c r="A48" s="115" t="s">
        <v>120</v>
      </c>
    </row>
    <row r="49" spans="1:1" ht="13.5" customHeight="1">
      <c r="A49" s="115" t="s">
        <v>123</v>
      </c>
    </row>
    <row r="50" spans="1:1" ht="13.5" customHeight="1">
      <c r="A50" s="115" t="s">
        <v>223</v>
      </c>
    </row>
    <row r="51" spans="1:1" ht="13.5" customHeight="1">
      <c r="A51" s="115"/>
    </row>
    <row r="52" spans="1:1" ht="13.5" customHeight="1">
      <c r="A52" s="115"/>
    </row>
    <row r="53" spans="1:1" ht="13.5" customHeight="1">
      <c r="A53" s="115"/>
    </row>
    <row r="54" spans="1:1" ht="13.5" customHeight="1">
      <c r="A54" s="115"/>
    </row>
    <row r="55" spans="1:1" ht="13.5" customHeight="1">
      <c r="A55" s="115"/>
    </row>
    <row r="56" spans="1:1" ht="13.5" customHeight="1">
      <c r="A56" s="115"/>
    </row>
    <row r="57" spans="1:1" ht="13.5" customHeight="1">
      <c r="A57" s="115"/>
    </row>
    <row r="58" spans="1:1" ht="13.5" customHeight="1">
      <c r="A58" s="115"/>
    </row>
    <row r="59" spans="1:1" ht="13.5" customHeight="1">
      <c r="A59" s="115"/>
    </row>
    <row r="60" spans="1:1" ht="13.5" customHeight="1">
      <c r="A60" s="115"/>
    </row>
    <row r="61" spans="1:1" ht="13.5" customHeight="1">
      <c r="A61" s="115"/>
    </row>
    <row r="62" spans="1:1" ht="13.5" customHeight="1">
      <c r="A62" s="115"/>
    </row>
    <row r="63" spans="1:1" ht="13.5" customHeight="1">
      <c r="A63" s="115"/>
    </row>
    <row r="64" spans="1:1" ht="13.5" customHeight="1">
      <c r="A64" s="115"/>
    </row>
    <row r="65" spans="1:1" ht="13.5" customHeight="1">
      <c r="A65" s="115"/>
    </row>
    <row r="66" spans="1:1" ht="13.5" customHeight="1">
      <c r="A66" s="115"/>
    </row>
    <row r="67" spans="1:1" ht="13.5" customHeight="1">
      <c r="A67" s="115"/>
    </row>
    <row r="68" spans="1:1" ht="13.5" customHeight="1">
      <c r="A68" s="115"/>
    </row>
    <row r="69" spans="1:1" ht="13.5" customHeight="1">
      <c r="A69" s="115"/>
    </row>
    <row r="70" spans="1:1" ht="13.5" customHeight="1">
      <c r="A70" s="115"/>
    </row>
    <row r="71" spans="1:1" ht="13.5" customHeight="1">
      <c r="A71" s="115"/>
    </row>
    <row r="72" spans="1:1" ht="13.5" customHeight="1">
      <c r="A72" s="115"/>
    </row>
    <row r="73" spans="1:1" ht="13.5" customHeight="1">
      <c r="A73" s="115"/>
    </row>
    <row r="74" spans="1:1" ht="13.5" customHeight="1">
      <c r="A74" s="115"/>
    </row>
    <row r="75" spans="1:1" ht="13.5" customHeight="1">
      <c r="A75" s="115"/>
    </row>
    <row r="76" spans="1:1" ht="13.5" customHeight="1">
      <c r="A76" s="115"/>
    </row>
    <row r="77" spans="1:1" ht="13.5" customHeight="1">
      <c r="A77" s="115"/>
    </row>
    <row r="78" spans="1:1" ht="13.5" customHeight="1">
      <c r="A78" s="115"/>
    </row>
    <row r="79" spans="1:1" ht="13.5" customHeight="1">
      <c r="A79" s="115"/>
    </row>
    <row r="80" spans="1:1" ht="13.5" customHeight="1">
      <c r="A80" s="115"/>
    </row>
    <row r="81" spans="1:1" ht="13.5" customHeight="1">
      <c r="A81" s="115"/>
    </row>
    <row r="82" spans="1:1" ht="13.5" customHeight="1">
      <c r="A82" s="115"/>
    </row>
    <row r="83" spans="1:1" ht="13.5" customHeight="1">
      <c r="A83" s="115"/>
    </row>
    <row r="84" spans="1:1" ht="13.5" customHeight="1">
      <c r="A84" s="115"/>
    </row>
    <row r="85" spans="1:1" ht="13.5" customHeight="1">
      <c r="A85" s="115"/>
    </row>
    <row r="86" spans="1:1" ht="13.5" customHeight="1">
      <c r="A86" s="115"/>
    </row>
    <row r="87" spans="1:1" ht="13.5" customHeight="1">
      <c r="A87" s="115"/>
    </row>
    <row r="88" spans="1:1" ht="13.5" customHeight="1">
      <c r="A88" s="115"/>
    </row>
    <row r="89" spans="1:1" ht="13.5" customHeight="1">
      <c r="A89" s="115"/>
    </row>
    <row r="90" spans="1:1" ht="13.5" customHeight="1">
      <c r="A90" s="115"/>
    </row>
    <row r="91" spans="1:1" ht="13.5" customHeight="1">
      <c r="A91" s="115"/>
    </row>
    <row r="92" spans="1:1" ht="13.5" customHeight="1">
      <c r="A92" s="115"/>
    </row>
    <row r="93" spans="1:1" ht="13.5" customHeight="1">
      <c r="A93" s="115"/>
    </row>
    <row r="94" spans="1:1" ht="13.5" customHeight="1">
      <c r="A94" s="115"/>
    </row>
    <row r="95" spans="1:1" ht="13.5" customHeight="1">
      <c r="A95" s="115"/>
    </row>
    <row r="96" spans="1:1" ht="13.5" customHeight="1">
      <c r="A96" s="115"/>
    </row>
    <row r="97" spans="1:1" ht="13.5" customHeight="1">
      <c r="A97" s="115"/>
    </row>
    <row r="98" spans="1:1" ht="13.5" customHeight="1">
      <c r="A98" s="115"/>
    </row>
    <row r="99" spans="1:1" ht="13.5" customHeight="1">
      <c r="A99" s="115"/>
    </row>
    <row r="100" spans="1:1" ht="13.5" customHeight="1">
      <c r="A100" s="115"/>
    </row>
    <row r="101" spans="1:1" ht="13.5" customHeight="1">
      <c r="A101" s="115"/>
    </row>
    <row r="102" spans="1:1" ht="13.5" customHeight="1">
      <c r="A102" s="115"/>
    </row>
    <row r="103" spans="1:1" ht="13.5" customHeight="1">
      <c r="A103" s="115"/>
    </row>
    <row r="104" spans="1:1" ht="13.5" customHeight="1">
      <c r="A104" s="115"/>
    </row>
    <row r="105" spans="1:1" ht="13.5" customHeight="1">
      <c r="A105" s="115"/>
    </row>
    <row r="106" spans="1:1" ht="13.5" customHeight="1">
      <c r="A106" s="115"/>
    </row>
    <row r="107" spans="1:1" ht="13.5" customHeight="1">
      <c r="A107" s="115"/>
    </row>
    <row r="108" spans="1:1" ht="13.5" customHeight="1">
      <c r="A108" s="115"/>
    </row>
    <row r="109" spans="1:1" ht="13.5" customHeight="1">
      <c r="A109" s="115"/>
    </row>
    <row r="110" spans="1:1" ht="13.5" customHeight="1">
      <c r="A110" s="115"/>
    </row>
    <row r="111" spans="1:1" ht="13.5" customHeight="1">
      <c r="A111" s="115"/>
    </row>
    <row r="112" spans="1:1" ht="13.5" customHeight="1">
      <c r="A112" s="115"/>
    </row>
    <row r="113" spans="1:1" ht="13.5" customHeight="1">
      <c r="A113" s="115"/>
    </row>
    <row r="114" spans="1:1" ht="13.5" customHeight="1">
      <c r="A114" s="115"/>
    </row>
    <row r="115" spans="1:1" ht="13.5" customHeight="1">
      <c r="A115" s="115"/>
    </row>
    <row r="116" spans="1:1" ht="13.5" customHeight="1">
      <c r="A116" s="115"/>
    </row>
    <row r="117" spans="1:1" ht="13.5" customHeight="1">
      <c r="A117" s="115"/>
    </row>
    <row r="118" spans="1:1" ht="13.5" customHeight="1">
      <c r="A118" s="115"/>
    </row>
    <row r="119" spans="1:1" ht="13.5" customHeight="1">
      <c r="A119" s="115"/>
    </row>
    <row r="120" spans="1:1" ht="13.5" customHeight="1">
      <c r="A120" s="115"/>
    </row>
    <row r="121" spans="1:1" ht="13.5" customHeight="1">
      <c r="A121" s="115"/>
    </row>
    <row r="122" spans="1:1" ht="13.5" customHeight="1">
      <c r="A122" s="115"/>
    </row>
    <row r="123" spans="1:1" ht="13.5" customHeight="1">
      <c r="A123" s="115"/>
    </row>
    <row r="124" spans="1:1" ht="13.5" customHeight="1">
      <c r="A124" s="115"/>
    </row>
    <row r="125" spans="1:1" ht="13.5" customHeight="1">
      <c r="A125" s="115"/>
    </row>
    <row r="126" spans="1:1" ht="13.5" customHeight="1">
      <c r="A126" s="115"/>
    </row>
    <row r="127" spans="1:1" ht="13.5" customHeight="1">
      <c r="A127" s="115"/>
    </row>
    <row r="128" spans="1:1" ht="13.5" customHeight="1">
      <c r="A128" s="115"/>
    </row>
    <row r="129" spans="1:1" ht="13.5" customHeight="1">
      <c r="A129" s="115"/>
    </row>
    <row r="130" spans="1:1" ht="13.5" customHeight="1">
      <c r="A130" s="115"/>
    </row>
    <row r="131" spans="1:1" ht="13.5" customHeight="1">
      <c r="A131" s="115"/>
    </row>
    <row r="132" spans="1:1" ht="13.5" customHeight="1">
      <c r="A132" s="115"/>
    </row>
    <row r="133" spans="1:1" ht="13.5" customHeight="1">
      <c r="A133" s="115"/>
    </row>
    <row r="134" spans="1:1" ht="13.5" customHeight="1">
      <c r="A134" s="115"/>
    </row>
    <row r="135" spans="1:1" ht="13.5" customHeight="1">
      <c r="A135" s="115"/>
    </row>
    <row r="136" spans="1:1" ht="13.5" customHeight="1">
      <c r="A136" s="115"/>
    </row>
    <row r="137" spans="1:1" ht="13.5" customHeight="1">
      <c r="A137" s="115"/>
    </row>
    <row r="138" spans="1:1" ht="13.5" customHeight="1">
      <c r="A138" s="115"/>
    </row>
    <row r="139" spans="1:1" ht="13.5" customHeight="1">
      <c r="A139" s="115"/>
    </row>
    <row r="140" spans="1:1" ht="13.5" customHeight="1">
      <c r="A140" s="115"/>
    </row>
    <row r="141" spans="1:1" ht="13.5" customHeight="1">
      <c r="A141" s="115"/>
    </row>
    <row r="142" spans="1:1" ht="13.5" customHeight="1">
      <c r="A142" s="115"/>
    </row>
    <row r="143" spans="1:1" ht="13.5" customHeight="1">
      <c r="A143" s="115"/>
    </row>
    <row r="144" spans="1:1" ht="13.5" customHeight="1">
      <c r="A144" s="115"/>
    </row>
    <row r="145" spans="1:1" ht="13.5" customHeight="1">
      <c r="A145" s="115"/>
    </row>
    <row r="146" spans="1:1" ht="13.5" customHeight="1">
      <c r="A146" s="115"/>
    </row>
    <row r="147" spans="1:1" ht="13.5" customHeight="1">
      <c r="A147" s="115"/>
    </row>
    <row r="148" spans="1:1" ht="13.5" customHeight="1">
      <c r="A148" s="115"/>
    </row>
    <row r="149" spans="1:1" ht="13.5" customHeight="1">
      <c r="A149" s="115"/>
    </row>
    <row r="150" spans="1:1" ht="13.5" customHeight="1">
      <c r="A150" s="115"/>
    </row>
    <row r="151" spans="1:1" ht="13.5" customHeight="1">
      <c r="A151" s="115"/>
    </row>
    <row r="152" spans="1:1" ht="13.5" customHeight="1">
      <c r="A152" s="115"/>
    </row>
    <row r="153" spans="1:1" ht="13.5" customHeight="1">
      <c r="A153" s="115"/>
    </row>
    <row r="154" spans="1:1" ht="13.5" customHeight="1">
      <c r="A154" s="115"/>
    </row>
    <row r="155" spans="1:1" ht="13.5" customHeight="1">
      <c r="A155" s="115"/>
    </row>
    <row r="156" spans="1:1" ht="13.5" customHeight="1">
      <c r="A156" s="115"/>
    </row>
    <row r="157" spans="1:1" ht="13.5" customHeight="1">
      <c r="A157" s="115"/>
    </row>
    <row r="158" spans="1:1" ht="13.5" customHeight="1">
      <c r="A158" s="115"/>
    </row>
    <row r="159" spans="1:1" ht="13.5" customHeight="1">
      <c r="A159" s="115"/>
    </row>
    <row r="160" spans="1:1" ht="13.5" customHeight="1">
      <c r="A160" s="115"/>
    </row>
    <row r="161" spans="1:1" ht="13.5" customHeight="1">
      <c r="A161" s="115"/>
    </row>
    <row r="162" spans="1:1" ht="13.5" customHeight="1">
      <c r="A162" s="115"/>
    </row>
    <row r="163" spans="1:1" ht="13.5" customHeight="1">
      <c r="A163" s="115"/>
    </row>
    <row r="164" spans="1:1" ht="13.5" customHeight="1">
      <c r="A164" s="115"/>
    </row>
    <row r="165" spans="1:1" ht="13.5" customHeight="1">
      <c r="A165" s="115"/>
    </row>
    <row r="166" spans="1:1" ht="13.5" customHeight="1">
      <c r="A166" s="115"/>
    </row>
    <row r="167" spans="1:1" ht="13.5" customHeight="1">
      <c r="A167" s="115"/>
    </row>
    <row r="168" spans="1:1" ht="13.5" customHeight="1">
      <c r="A168" s="115"/>
    </row>
    <row r="169" spans="1:1" ht="13.5" customHeight="1">
      <c r="A169" s="115"/>
    </row>
    <row r="170" spans="1:1" ht="13.5" customHeight="1">
      <c r="A170" s="115"/>
    </row>
    <row r="171" spans="1:1" ht="13.5" customHeight="1">
      <c r="A171" s="115"/>
    </row>
    <row r="172" spans="1:1" ht="13.5" customHeight="1">
      <c r="A172" s="115"/>
    </row>
    <row r="173" spans="1:1" ht="13.5" customHeight="1">
      <c r="A173" s="115"/>
    </row>
    <row r="174" spans="1:1" ht="13.5" customHeight="1">
      <c r="A174" s="115"/>
    </row>
    <row r="175" spans="1:1" ht="13.5" customHeight="1">
      <c r="A175" s="115"/>
    </row>
    <row r="176" spans="1:1" ht="13.5" customHeight="1">
      <c r="A176" s="115"/>
    </row>
    <row r="177" spans="1:1" ht="13.5" customHeight="1">
      <c r="A177" s="115"/>
    </row>
    <row r="178" spans="1:1" ht="13.5" customHeight="1">
      <c r="A178" s="115"/>
    </row>
    <row r="179" spans="1:1" ht="13.5" customHeight="1">
      <c r="A179" s="115"/>
    </row>
    <row r="180" spans="1:1" ht="13.5" customHeight="1">
      <c r="A180" s="115"/>
    </row>
    <row r="181" spans="1:1" ht="13.5" customHeight="1">
      <c r="A181" s="115"/>
    </row>
    <row r="182" spans="1:1" ht="13.5" customHeight="1">
      <c r="A182" s="115"/>
    </row>
    <row r="183" spans="1:1" ht="13.5" customHeight="1">
      <c r="A183" s="115"/>
    </row>
    <row r="184" spans="1:1" ht="13.5" customHeight="1">
      <c r="A184" s="115"/>
    </row>
    <row r="185" spans="1:1" ht="13.5" customHeight="1">
      <c r="A185" s="115"/>
    </row>
    <row r="186" spans="1:1" ht="13.5" customHeight="1">
      <c r="A186" s="115"/>
    </row>
    <row r="187" spans="1:1" ht="13.5" customHeight="1">
      <c r="A187" s="115"/>
    </row>
    <row r="188" spans="1:1" ht="13.5" customHeight="1">
      <c r="A188" s="115"/>
    </row>
    <row r="189" spans="1:1" ht="13.5" customHeight="1">
      <c r="A189" s="115"/>
    </row>
    <row r="190" spans="1:1" ht="13.5" customHeight="1">
      <c r="A190" s="115"/>
    </row>
    <row r="191" spans="1:1" ht="13.5" customHeight="1">
      <c r="A191" s="115"/>
    </row>
    <row r="192" spans="1:1" ht="13.5" customHeight="1">
      <c r="A192" s="115"/>
    </row>
    <row r="193" spans="1:1" ht="13.5" customHeight="1">
      <c r="A193" s="115"/>
    </row>
    <row r="194" spans="1:1" ht="13.5" customHeight="1">
      <c r="A194" s="115"/>
    </row>
    <row r="195" spans="1:1" ht="13.5" customHeight="1">
      <c r="A195" s="115"/>
    </row>
    <row r="196" spans="1:1" ht="13.5" customHeight="1">
      <c r="A196" s="115"/>
    </row>
    <row r="197" spans="1:1" ht="13.5" customHeight="1">
      <c r="A197" s="115"/>
    </row>
    <row r="198" spans="1:1" ht="13.5" customHeight="1">
      <c r="A198" s="115"/>
    </row>
    <row r="199" spans="1:1" ht="13.5" customHeight="1">
      <c r="A199" s="115"/>
    </row>
    <row r="200" spans="1:1" ht="13.5" customHeight="1">
      <c r="A200" s="115"/>
    </row>
    <row r="201" spans="1:1" ht="13.5" customHeight="1">
      <c r="A201" s="115"/>
    </row>
    <row r="202" spans="1:1" ht="13.5" customHeight="1">
      <c r="A202" s="115"/>
    </row>
    <row r="203" spans="1:1" ht="13.5" customHeight="1">
      <c r="A203" s="115"/>
    </row>
    <row r="204" spans="1:1" ht="13.5" customHeight="1">
      <c r="A204" s="115"/>
    </row>
    <row r="205" spans="1:1" ht="13.5" customHeight="1">
      <c r="A205" s="115"/>
    </row>
    <row r="206" spans="1:1" ht="13.5" customHeight="1">
      <c r="A206" s="115"/>
    </row>
    <row r="207" spans="1:1" ht="13.5" customHeight="1">
      <c r="A207" s="115"/>
    </row>
    <row r="208" spans="1:1" ht="13.5" customHeight="1">
      <c r="A208" s="115"/>
    </row>
    <row r="209" spans="1:1" ht="13.5" customHeight="1">
      <c r="A209" s="115"/>
    </row>
    <row r="210" spans="1:1" ht="13.5" customHeight="1">
      <c r="A210" s="115"/>
    </row>
    <row r="211" spans="1:1" ht="13.5" customHeight="1">
      <c r="A211" s="115"/>
    </row>
    <row r="212" spans="1:1" ht="13.5" customHeight="1">
      <c r="A212" s="115"/>
    </row>
    <row r="213" spans="1:1" ht="13.5" customHeight="1">
      <c r="A213" s="115"/>
    </row>
    <row r="214" spans="1:1" ht="13.5" customHeight="1">
      <c r="A214" s="115"/>
    </row>
    <row r="215" spans="1:1" ht="13.5" customHeight="1">
      <c r="A215" s="115"/>
    </row>
    <row r="216" spans="1:1" ht="13.5" customHeight="1">
      <c r="A216" s="115"/>
    </row>
    <row r="217" spans="1:1" ht="13.5" customHeight="1">
      <c r="A217" s="115"/>
    </row>
    <row r="218" spans="1:1" ht="13.5" customHeight="1">
      <c r="A218" s="115"/>
    </row>
    <row r="219" spans="1:1" ht="13.5" customHeight="1">
      <c r="A219" s="115"/>
    </row>
    <row r="220" spans="1:1" ht="13.5" customHeight="1">
      <c r="A220" s="115"/>
    </row>
    <row r="221" spans="1:1" ht="13.5" customHeight="1">
      <c r="A221" s="115"/>
    </row>
    <row r="222" spans="1:1" ht="13.5" customHeight="1">
      <c r="A222" s="115"/>
    </row>
    <row r="223" spans="1:1" ht="13.5" customHeight="1">
      <c r="A223" s="115"/>
    </row>
    <row r="224" spans="1:1" ht="13.5" customHeight="1">
      <c r="A224" s="115"/>
    </row>
    <row r="225" spans="1:1" ht="13.5" customHeight="1">
      <c r="A225" s="115"/>
    </row>
    <row r="226" spans="1:1" ht="13.5" customHeight="1">
      <c r="A226" s="115"/>
    </row>
    <row r="227" spans="1:1" ht="13.5" customHeight="1">
      <c r="A227" s="115"/>
    </row>
    <row r="228" spans="1:1" ht="13.5" customHeight="1">
      <c r="A228" s="115"/>
    </row>
    <row r="229" spans="1:1" ht="13.5" customHeight="1">
      <c r="A229" s="115"/>
    </row>
    <row r="230" spans="1:1" ht="13.5" customHeight="1">
      <c r="A230" s="115"/>
    </row>
    <row r="231" spans="1:1" ht="13.5" customHeight="1">
      <c r="A231" s="115"/>
    </row>
    <row r="232" spans="1:1" ht="13.5" customHeight="1">
      <c r="A232" s="115"/>
    </row>
    <row r="233" spans="1:1" ht="13.5" customHeight="1">
      <c r="A233" s="115"/>
    </row>
    <row r="234" spans="1:1" ht="13.5" customHeight="1">
      <c r="A234" s="115"/>
    </row>
    <row r="235" spans="1:1" ht="13.5" customHeight="1">
      <c r="A235" s="115"/>
    </row>
    <row r="236" spans="1:1" ht="13.5" customHeight="1">
      <c r="A236" s="115"/>
    </row>
    <row r="237" spans="1:1" ht="13.5" customHeight="1">
      <c r="A237" s="115"/>
    </row>
    <row r="238" spans="1:1" ht="13.5" customHeight="1">
      <c r="A238" s="115"/>
    </row>
    <row r="239" spans="1:1" ht="13.5" customHeight="1">
      <c r="A239" s="115"/>
    </row>
    <row r="240" spans="1:1" ht="13.5" customHeight="1">
      <c r="A240" s="115"/>
    </row>
    <row r="241" spans="1:1" ht="13.5" customHeight="1">
      <c r="A241" s="115"/>
    </row>
    <row r="242" spans="1:1" ht="13.5" customHeight="1">
      <c r="A242" s="115"/>
    </row>
    <row r="243" spans="1:1" ht="13.5" customHeight="1">
      <c r="A243" s="115"/>
    </row>
    <row r="244" spans="1:1" ht="13.5" customHeight="1">
      <c r="A244" s="115"/>
    </row>
    <row r="245" spans="1:1" ht="13.5" customHeight="1">
      <c r="A245" s="115"/>
    </row>
    <row r="246" spans="1:1" ht="13.5" customHeight="1">
      <c r="A246" s="115"/>
    </row>
    <row r="247" spans="1:1" ht="13.5" customHeight="1">
      <c r="A247" s="115"/>
    </row>
    <row r="248" spans="1:1" ht="13.5" customHeight="1">
      <c r="A248" s="115"/>
    </row>
    <row r="249" spans="1:1" ht="13.5" customHeight="1">
      <c r="A249" s="115"/>
    </row>
    <row r="250" spans="1:1" ht="13.5" customHeight="1">
      <c r="A250" s="115"/>
    </row>
    <row r="251" spans="1:1" ht="13.5" customHeight="1">
      <c r="A251" s="115"/>
    </row>
    <row r="252" spans="1:1" ht="13.5" customHeight="1">
      <c r="A252" s="115"/>
    </row>
    <row r="253" spans="1:1" ht="13.5" customHeight="1">
      <c r="A253" s="115"/>
    </row>
    <row r="254" spans="1:1" ht="13.5" customHeight="1">
      <c r="A254" s="115"/>
    </row>
    <row r="255" spans="1:1" ht="13.5" customHeight="1">
      <c r="A255" s="115"/>
    </row>
    <row r="256" spans="1:1" ht="13.5" customHeight="1">
      <c r="A256" s="115"/>
    </row>
    <row r="257" spans="1:1" ht="13.5" customHeight="1">
      <c r="A257" s="115"/>
    </row>
    <row r="258" spans="1:1" ht="13.5" customHeight="1">
      <c r="A258" s="115"/>
    </row>
    <row r="259" spans="1:1" ht="13.5" customHeight="1">
      <c r="A259" s="115"/>
    </row>
    <row r="260" spans="1:1" ht="13.5" customHeight="1">
      <c r="A260" s="115"/>
    </row>
    <row r="261" spans="1:1" ht="13.5" customHeight="1">
      <c r="A261" s="115"/>
    </row>
    <row r="262" spans="1:1" ht="13.5" customHeight="1">
      <c r="A262" s="115"/>
    </row>
    <row r="263" spans="1:1" ht="13.5" customHeight="1">
      <c r="A263" s="115"/>
    </row>
    <row r="264" spans="1:1" ht="13.5" customHeight="1">
      <c r="A264" s="115"/>
    </row>
    <row r="265" spans="1:1" ht="13.5" customHeight="1">
      <c r="A265" s="115"/>
    </row>
    <row r="266" spans="1:1" ht="13.5" customHeight="1">
      <c r="A266" s="115"/>
    </row>
    <row r="267" spans="1:1" ht="13.5" customHeight="1">
      <c r="A267" s="115"/>
    </row>
    <row r="268" spans="1:1" ht="13.5" customHeight="1">
      <c r="A268" s="115"/>
    </row>
    <row r="269" spans="1:1" ht="13.5" customHeight="1">
      <c r="A269" s="115"/>
    </row>
    <row r="270" spans="1:1" ht="13.5" customHeight="1">
      <c r="A270" s="115"/>
    </row>
    <row r="271" spans="1:1" ht="13.5" customHeight="1">
      <c r="A271" s="115"/>
    </row>
    <row r="272" spans="1:1" ht="13.5" customHeight="1">
      <c r="A272" s="115"/>
    </row>
    <row r="273" spans="1:1" ht="13.5" customHeight="1">
      <c r="A273" s="115"/>
    </row>
    <row r="274" spans="1:1" ht="13.5" customHeight="1">
      <c r="A274" s="115"/>
    </row>
    <row r="275" spans="1:1" ht="13.5" customHeight="1">
      <c r="A275" s="115"/>
    </row>
    <row r="276" spans="1:1" ht="13.5" customHeight="1">
      <c r="A276" s="115"/>
    </row>
    <row r="277" spans="1:1" ht="13.5" customHeight="1">
      <c r="A277" s="115"/>
    </row>
    <row r="278" spans="1:1" ht="13.5" customHeight="1">
      <c r="A278" s="115"/>
    </row>
    <row r="279" spans="1:1" ht="13.5" customHeight="1">
      <c r="A279" s="115"/>
    </row>
    <row r="280" spans="1:1" ht="13.5" customHeight="1">
      <c r="A280" s="115"/>
    </row>
    <row r="281" spans="1:1" ht="13.5" customHeight="1">
      <c r="A281" s="115"/>
    </row>
    <row r="282" spans="1:1" ht="13.5" customHeight="1">
      <c r="A282" s="115"/>
    </row>
    <row r="283" spans="1:1" ht="13.5" customHeight="1">
      <c r="A283" s="115"/>
    </row>
    <row r="284" spans="1:1" ht="13.5" customHeight="1">
      <c r="A284" s="115"/>
    </row>
    <row r="285" spans="1:1" ht="13.5" customHeight="1">
      <c r="A285" s="115"/>
    </row>
    <row r="286" spans="1:1" ht="13.5" customHeight="1">
      <c r="A286" s="115"/>
    </row>
    <row r="287" spans="1:1" ht="13.5" customHeight="1">
      <c r="A287" s="115"/>
    </row>
    <row r="288" spans="1:1" ht="13.5" customHeight="1">
      <c r="A288" s="115"/>
    </row>
    <row r="289" spans="1:1" ht="13.5" customHeight="1">
      <c r="A289" s="115"/>
    </row>
    <row r="290" spans="1:1" ht="13.5" customHeight="1">
      <c r="A290" s="115"/>
    </row>
    <row r="291" spans="1:1" ht="13.5" customHeight="1">
      <c r="A291" s="115"/>
    </row>
    <row r="292" spans="1:1" ht="13.5" customHeight="1">
      <c r="A292" s="115"/>
    </row>
    <row r="293" spans="1:1" ht="13.5" customHeight="1">
      <c r="A293" s="115"/>
    </row>
    <row r="294" spans="1:1" ht="13.5" customHeight="1">
      <c r="A294" s="115"/>
    </row>
    <row r="295" spans="1:1" ht="13.5" customHeight="1">
      <c r="A295" s="115"/>
    </row>
    <row r="296" spans="1:1" ht="13.5" customHeight="1">
      <c r="A296" s="115"/>
    </row>
    <row r="297" spans="1:1" ht="13.5" customHeight="1">
      <c r="A297" s="115"/>
    </row>
    <row r="298" spans="1:1" ht="13.5" customHeight="1">
      <c r="A298" s="115"/>
    </row>
    <row r="299" spans="1:1" ht="13.5" customHeight="1">
      <c r="A299" s="115"/>
    </row>
    <row r="300" spans="1:1" ht="13.5" customHeight="1">
      <c r="A300" s="115"/>
    </row>
    <row r="301" spans="1:1" ht="13.5" customHeight="1">
      <c r="A301" s="115"/>
    </row>
    <row r="302" spans="1:1" ht="13.5" customHeight="1">
      <c r="A302" s="115"/>
    </row>
    <row r="303" spans="1:1" ht="13.5" customHeight="1">
      <c r="A303" s="115"/>
    </row>
    <row r="304" spans="1:1" ht="13.5" customHeight="1">
      <c r="A304" s="115"/>
    </row>
    <row r="305" spans="1:1" ht="13.5" customHeight="1">
      <c r="A305" s="115"/>
    </row>
    <row r="306" spans="1:1" ht="13.5" customHeight="1">
      <c r="A306" s="115"/>
    </row>
    <row r="307" spans="1:1" ht="13.5" customHeight="1">
      <c r="A307" s="115"/>
    </row>
    <row r="308" spans="1:1" ht="13.5" customHeight="1">
      <c r="A308" s="115"/>
    </row>
    <row r="309" spans="1:1" ht="13.5" customHeight="1">
      <c r="A309" s="115"/>
    </row>
    <row r="310" spans="1:1" ht="13.5" customHeight="1">
      <c r="A310" s="115"/>
    </row>
    <row r="311" spans="1:1" ht="13.5" customHeight="1">
      <c r="A311" s="115"/>
    </row>
    <row r="312" spans="1:1" ht="13.5" customHeight="1">
      <c r="A312" s="115"/>
    </row>
    <row r="313" spans="1:1" ht="13.5" customHeight="1">
      <c r="A313" s="115"/>
    </row>
    <row r="314" spans="1:1" ht="13.5" customHeight="1">
      <c r="A314" s="115"/>
    </row>
    <row r="315" spans="1:1" ht="13.5" customHeight="1">
      <c r="A315" s="115"/>
    </row>
    <row r="316" spans="1:1" ht="13.5" customHeight="1">
      <c r="A316" s="115"/>
    </row>
    <row r="317" spans="1:1" ht="13.5" customHeight="1">
      <c r="A317" s="115"/>
    </row>
    <row r="318" spans="1:1" ht="13.5" customHeight="1">
      <c r="A318" s="115"/>
    </row>
    <row r="319" spans="1:1" ht="13.5" customHeight="1">
      <c r="A319" s="115"/>
    </row>
    <row r="320" spans="1:1" ht="13.5" customHeight="1">
      <c r="A320" s="115"/>
    </row>
    <row r="321" spans="1:1" ht="13.5" customHeight="1">
      <c r="A321" s="115"/>
    </row>
    <row r="322" spans="1:1" ht="13.5" customHeight="1">
      <c r="A322" s="115"/>
    </row>
    <row r="323" spans="1:1" ht="13.5" customHeight="1">
      <c r="A323" s="115"/>
    </row>
    <row r="324" spans="1:1" ht="13.5" customHeight="1">
      <c r="A324" s="115"/>
    </row>
    <row r="325" spans="1:1" ht="13.5" customHeight="1">
      <c r="A325" s="115"/>
    </row>
    <row r="326" spans="1:1" ht="13.5" customHeight="1">
      <c r="A326" s="115"/>
    </row>
    <row r="327" spans="1:1" ht="13.5" customHeight="1">
      <c r="A327" s="115"/>
    </row>
    <row r="328" spans="1:1" ht="13.5" customHeight="1">
      <c r="A328" s="115"/>
    </row>
    <row r="329" spans="1:1" ht="13.5" customHeight="1">
      <c r="A329" s="115"/>
    </row>
    <row r="330" spans="1:1" ht="13.5" customHeight="1">
      <c r="A330" s="115"/>
    </row>
    <row r="331" spans="1:1" ht="13.5" customHeight="1">
      <c r="A331" s="115"/>
    </row>
    <row r="332" spans="1:1" ht="13.5" customHeight="1">
      <c r="A332" s="115"/>
    </row>
    <row r="333" spans="1:1" ht="13.5" customHeight="1">
      <c r="A333" s="115"/>
    </row>
    <row r="334" spans="1:1" ht="13.5" customHeight="1">
      <c r="A334" s="115"/>
    </row>
    <row r="335" spans="1:1" ht="13.5" customHeight="1">
      <c r="A335" s="115"/>
    </row>
    <row r="336" spans="1:1" ht="13.5" customHeight="1">
      <c r="A336" s="115"/>
    </row>
    <row r="337" spans="1:1" ht="13.5" customHeight="1">
      <c r="A337" s="115"/>
    </row>
    <row r="338" spans="1:1" ht="13.5" customHeight="1">
      <c r="A338" s="115"/>
    </row>
    <row r="339" spans="1:1" ht="13.5" customHeight="1">
      <c r="A339" s="115"/>
    </row>
    <row r="340" spans="1:1" ht="13.5" customHeight="1">
      <c r="A340" s="115"/>
    </row>
    <row r="341" spans="1:1" ht="13.5" customHeight="1">
      <c r="A341" s="115"/>
    </row>
    <row r="342" spans="1:1" ht="13.5" customHeight="1">
      <c r="A342" s="115"/>
    </row>
    <row r="343" spans="1:1" ht="13.5" customHeight="1">
      <c r="A343" s="115"/>
    </row>
    <row r="344" spans="1:1" ht="13.5" customHeight="1">
      <c r="A344" s="115"/>
    </row>
    <row r="345" spans="1:1" ht="13.5" customHeight="1">
      <c r="A345" s="115"/>
    </row>
    <row r="346" spans="1:1" ht="13.5" customHeight="1">
      <c r="A346" s="115"/>
    </row>
    <row r="347" spans="1:1" ht="13.5" customHeight="1">
      <c r="A347" s="115"/>
    </row>
    <row r="348" spans="1:1" ht="13.5" customHeight="1">
      <c r="A348" s="115"/>
    </row>
    <row r="349" spans="1:1" ht="13.5" customHeight="1">
      <c r="A349" s="115"/>
    </row>
    <row r="350" spans="1:1" ht="13.5" customHeight="1">
      <c r="A350" s="115"/>
    </row>
    <row r="351" spans="1:1" ht="13.5" customHeight="1">
      <c r="A351" s="115"/>
    </row>
    <row r="352" spans="1:1" ht="13.5" customHeight="1">
      <c r="A352" s="115"/>
    </row>
    <row r="353" spans="1:1" ht="13.5" customHeight="1">
      <c r="A353" s="115"/>
    </row>
    <row r="354" spans="1:1" ht="13.5" customHeight="1">
      <c r="A354" s="115"/>
    </row>
    <row r="355" spans="1:1" ht="13.5" customHeight="1">
      <c r="A355" s="115"/>
    </row>
    <row r="356" spans="1:1" ht="13.5" customHeight="1">
      <c r="A356" s="115"/>
    </row>
    <row r="357" spans="1:1" ht="13.5" customHeight="1">
      <c r="A357" s="115"/>
    </row>
    <row r="358" spans="1:1" ht="13.5" customHeight="1">
      <c r="A358" s="115"/>
    </row>
    <row r="359" spans="1:1" ht="13.5" customHeight="1">
      <c r="A359" s="115"/>
    </row>
    <row r="360" spans="1:1" ht="13.5" customHeight="1">
      <c r="A360" s="115"/>
    </row>
    <row r="361" spans="1:1" ht="13.5" customHeight="1">
      <c r="A361" s="115"/>
    </row>
    <row r="362" spans="1:1" ht="13.5" customHeight="1">
      <c r="A362" s="115"/>
    </row>
    <row r="363" spans="1:1" ht="13.5" customHeight="1">
      <c r="A363" s="115"/>
    </row>
    <row r="364" spans="1:1" ht="13.5" customHeight="1">
      <c r="A364" s="115"/>
    </row>
    <row r="365" spans="1:1" ht="13.5" customHeight="1">
      <c r="A365" s="115"/>
    </row>
    <row r="366" spans="1:1" ht="13.5" customHeight="1">
      <c r="A366" s="115"/>
    </row>
    <row r="367" spans="1:1" ht="13.5" customHeight="1">
      <c r="A367" s="115"/>
    </row>
    <row r="368" spans="1:1" ht="13.5" customHeight="1">
      <c r="A368" s="115"/>
    </row>
    <row r="369" spans="1:1" ht="13.5" customHeight="1">
      <c r="A369" s="115"/>
    </row>
    <row r="370" spans="1:1" ht="13.5" customHeight="1">
      <c r="A370" s="115"/>
    </row>
    <row r="371" spans="1:1" ht="13.5" customHeight="1">
      <c r="A371" s="115"/>
    </row>
    <row r="372" spans="1:1" ht="13.5" customHeight="1">
      <c r="A372" s="115"/>
    </row>
    <row r="373" spans="1:1" ht="13.5" customHeight="1">
      <c r="A373" s="115"/>
    </row>
    <row r="374" spans="1:1" ht="13.5" customHeight="1">
      <c r="A374" s="115"/>
    </row>
    <row r="375" spans="1:1" ht="13.5" customHeight="1">
      <c r="A375" s="115"/>
    </row>
    <row r="376" spans="1:1" ht="13.5" customHeight="1">
      <c r="A376" s="115"/>
    </row>
    <row r="377" spans="1:1" ht="13.5" customHeight="1">
      <c r="A377" s="115"/>
    </row>
    <row r="378" spans="1:1" ht="13.5" customHeight="1">
      <c r="A378" s="115"/>
    </row>
    <row r="379" spans="1:1" ht="13.5" customHeight="1">
      <c r="A379" s="115"/>
    </row>
    <row r="380" spans="1:1" ht="13.5" customHeight="1">
      <c r="A380" s="115"/>
    </row>
    <row r="381" spans="1:1" ht="13.5" customHeight="1">
      <c r="A381" s="115"/>
    </row>
    <row r="382" spans="1:1" ht="13.5" customHeight="1">
      <c r="A382" s="115"/>
    </row>
    <row r="383" spans="1:1" ht="13.5" customHeight="1">
      <c r="A383" s="115"/>
    </row>
    <row r="384" spans="1:1" ht="13.5" customHeight="1">
      <c r="A384" s="115"/>
    </row>
    <row r="385" spans="1:1" ht="13.5" customHeight="1">
      <c r="A385" s="115"/>
    </row>
    <row r="386" spans="1:1" ht="13.5" customHeight="1">
      <c r="A386" s="115"/>
    </row>
    <row r="387" spans="1:1" ht="13.5" customHeight="1">
      <c r="A387" s="115"/>
    </row>
    <row r="388" spans="1:1" ht="13.5" customHeight="1">
      <c r="A388" s="115"/>
    </row>
    <row r="389" spans="1:1" ht="13.5" customHeight="1">
      <c r="A389" s="115"/>
    </row>
    <row r="390" spans="1:1" ht="13.5" customHeight="1">
      <c r="A390" s="115"/>
    </row>
    <row r="391" spans="1:1" ht="13.5" customHeight="1">
      <c r="A391" s="115"/>
    </row>
    <row r="392" spans="1:1" ht="13.5" customHeight="1">
      <c r="A392" s="115"/>
    </row>
    <row r="393" spans="1:1" ht="13.5" customHeight="1">
      <c r="A393" s="115"/>
    </row>
    <row r="394" spans="1:1" ht="13.5" customHeight="1">
      <c r="A394" s="115"/>
    </row>
    <row r="395" spans="1:1" ht="13.5" customHeight="1">
      <c r="A395" s="115"/>
    </row>
    <row r="396" spans="1:1" ht="13.5" customHeight="1">
      <c r="A396" s="115"/>
    </row>
    <row r="397" spans="1:1" ht="13.5" customHeight="1">
      <c r="A397" s="115"/>
    </row>
    <row r="398" spans="1:1" ht="13.5" customHeight="1">
      <c r="A398" s="115"/>
    </row>
    <row r="399" spans="1:1" ht="13.5" customHeight="1">
      <c r="A399" s="115"/>
    </row>
    <row r="400" spans="1:1" ht="13.5" customHeight="1">
      <c r="A400" s="115"/>
    </row>
    <row r="401" spans="1:1" ht="13.5" customHeight="1">
      <c r="A401" s="115"/>
    </row>
    <row r="402" spans="1:1" ht="13.5" customHeight="1">
      <c r="A402" s="115"/>
    </row>
    <row r="403" spans="1:1" ht="13.5" customHeight="1">
      <c r="A403" s="115"/>
    </row>
    <row r="404" spans="1:1" ht="13.5" customHeight="1">
      <c r="A404" s="115"/>
    </row>
    <row r="405" spans="1:1" ht="13.5" customHeight="1">
      <c r="A405" s="115"/>
    </row>
    <row r="406" spans="1:1" ht="13.5" customHeight="1">
      <c r="A406" s="115"/>
    </row>
    <row r="407" spans="1:1" ht="13.5" customHeight="1">
      <c r="A407" s="115"/>
    </row>
    <row r="408" spans="1:1" ht="13.5" customHeight="1">
      <c r="A408" s="115"/>
    </row>
    <row r="409" spans="1:1" ht="13.5" customHeight="1">
      <c r="A409" s="115"/>
    </row>
    <row r="410" spans="1:1" ht="13.5" customHeight="1">
      <c r="A410" s="115"/>
    </row>
    <row r="411" spans="1:1" ht="13.5" customHeight="1">
      <c r="A411" s="115"/>
    </row>
    <row r="412" spans="1:1" ht="13.5" customHeight="1">
      <c r="A412" s="115"/>
    </row>
    <row r="413" spans="1:1" ht="13.5" customHeight="1">
      <c r="A413" s="115"/>
    </row>
    <row r="414" spans="1:1" ht="13.5" customHeight="1">
      <c r="A414" s="115"/>
    </row>
    <row r="415" spans="1:1" ht="13.5" customHeight="1">
      <c r="A415" s="115"/>
    </row>
    <row r="416" spans="1:1" ht="13.5" customHeight="1">
      <c r="A416" s="115"/>
    </row>
    <row r="417" spans="1:1" ht="13.5" customHeight="1">
      <c r="A417" s="115"/>
    </row>
    <row r="418" spans="1:1" ht="13.5" customHeight="1">
      <c r="A418" s="115"/>
    </row>
    <row r="419" spans="1:1" ht="13.5" customHeight="1">
      <c r="A419" s="115"/>
    </row>
    <row r="420" spans="1:1" ht="13.5" customHeight="1">
      <c r="A420" s="115"/>
    </row>
    <row r="421" spans="1:1" ht="13.5" customHeight="1">
      <c r="A421" s="115"/>
    </row>
    <row r="422" spans="1:1" ht="13.5" customHeight="1">
      <c r="A422" s="115"/>
    </row>
    <row r="423" spans="1:1" ht="13.5" customHeight="1">
      <c r="A423" s="115"/>
    </row>
    <row r="424" spans="1:1" ht="13.5" customHeight="1">
      <c r="A424" s="115"/>
    </row>
    <row r="425" spans="1:1" ht="13.5" customHeight="1">
      <c r="A425" s="115"/>
    </row>
    <row r="426" spans="1:1" ht="13.5" customHeight="1">
      <c r="A426" s="115"/>
    </row>
    <row r="427" spans="1:1" ht="13.5" customHeight="1">
      <c r="A427" s="115"/>
    </row>
    <row r="428" spans="1:1" ht="13.5" customHeight="1">
      <c r="A428" s="115"/>
    </row>
    <row r="429" spans="1:1" ht="13.5" customHeight="1">
      <c r="A429" s="115"/>
    </row>
    <row r="430" spans="1:1" ht="13.5" customHeight="1">
      <c r="A430" s="115"/>
    </row>
    <row r="431" spans="1:1" ht="13.5" customHeight="1">
      <c r="A431" s="115"/>
    </row>
    <row r="432" spans="1:1" ht="13.5" customHeight="1">
      <c r="A432" s="115"/>
    </row>
    <row r="433" spans="1:1" ht="13.5" customHeight="1">
      <c r="A433" s="115"/>
    </row>
    <row r="434" spans="1:1" ht="13.5" customHeight="1">
      <c r="A434" s="115"/>
    </row>
    <row r="435" spans="1:1" ht="13.5" customHeight="1">
      <c r="A435" s="115"/>
    </row>
    <row r="436" spans="1:1" ht="13.5" customHeight="1">
      <c r="A436" s="115"/>
    </row>
    <row r="437" spans="1:1" ht="13.5" customHeight="1">
      <c r="A437" s="115"/>
    </row>
    <row r="438" spans="1:1" ht="13.5" customHeight="1">
      <c r="A438" s="115"/>
    </row>
    <row r="439" spans="1:1" ht="13.5" customHeight="1">
      <c r="A439" s="115"/>
    </row>
    <row r="440" spans="1:1" ht="13.5" customHeight="1">
      <c r="A440" s="115"/>
    </row>
    <row r="441" spans="1:1" ht="13.5" customHeight="1">
      <c r="A441" s="115"/>
    </row>
    <row r="442" spans="1:1" ht="13.5" customHeight="1">
      <c r="A442" s="115"/>
    </row>
    <row r="443" spans="1:1" ht="13.5" customHeight="1">
      <c r="A443" s="115"/>
    </row>
    <row r="444" spans="1:1" ht="13.5" customHeight="1">
      <c r="A444" s="115"/>
    </row>
    <row r="445" spans="1:1" ht="13.5" customHeight="1">
      <c r="A445" s="115"/>
    </row>
    <row r="446" spans="1:1" ht="13.5" customHeight="1">
      <c r="A446" s="115"/>
    </row>
    <row r="447" spans="1:1" ht="13.5" customHeight="1">
      <c r="A447" s="115"/>
    </row>
    <row r="448" spans="1:1" ht="13.5" customHeight="1">
      <c r="A448" s="115"/>
    </row>
    <row r="449" spans="1:1" ht="13.5" customHeight="1">
      <c r="A449" s="115"/>
    </row>
    <row r="450" spans="1:1" ht="13.5" customHeight="1">
      <c r="A450" s="115"/>
    </row>
    <row r="451" spans="1:1" ht="13.5" customHeight="1">
      <c r="A451" s="115"/>
    </row>
    <row r="452" spans="1:1" ht="13.5" customHeight="1">
      <c r="A452" s="115"/>
    </row>
    <row r="453" spans="1:1" ht="13.5" customHeight="1">
      <c r="A453" s="115"/>
    </row>
    <row r="454" spans="1:1" ht="13.5" customHeight="1">
      <c r="A454" s="115"/>
    </row>
    <row r="455" spans="1:1" ht="13.5" customHeight="1">
      <c r="A455" s="115"/>
    </row>
    <row r="456" spans="1:1" ht="13.5" customHeight="1">
      <c r="A456" s="115"/>
    </row>
    <row r="457" spans="1:1" ht="13.5" customHeight="1">
      <c r="A457" s="115"/>
    </row>
    <row r="458" spans="1:1" ht="13.5" customHeight="1">
      <c r="A458" s="115"/>
    </row>
    <row r="459" spans="1:1" ht="13.5" customHeight="1">
      <c r="A459" s="115"/>
    </row>
    <row r="460" spans="1:1" ht="13.5" customHeight="1">
      <c r="A460" s="115"/>
    </row>
    <row r="461" spans="1:1" ht="13.5" customHeight="1">
      <c r="A461" s="115"/>
    </row>
    <row r="462" spans="1:1" ht="13.5" customHeight="1">
      <c r="A462" s="115"/>
    </row>
    <row r="463" spans="1:1" ht="13.5" customHeight="1">
      <c r="A463" s="115"/>
    </row>
    <row r="464" spans="1:1" ht="13.5" customHeight="1">
      <c r="A464" s="115"/>
    </row>
    <row r="465" spans="1:1" ht="13.5" customHeight="1">
      <c r="A465" s="115"/>
    </row>
    <row r="466" spans="1:1" ht="13.5" customHeight="1">
      <c r="A466" s="115"/>
    </row>
    <row r="467" spans="1:1" ht="13.5" customHeight="1">
      <c r="A467" s="115"/>
    </row>
    <row r="468" spans="1:1" ht="13.5" customHeight="1">
      <c r="A468" s="115"/>
    </row>
    <row r="469" spans="1:1" ht="13.5" customHeight="1">
      <c r="A469" s="115"/>
    </row>
    <row r="470" spans="1:1" ht="13.5" customHeight="1">
      <c r="A470" s="115"/>
    </row>
    <row r="471" spans="1:1" ht="13.5" customHeight="1">
      <c r="A471" s="115"/>
    </row>
    <row r="472" spans="1:1" ht="13.5" customHeight="1">
      <c r="A472" s="115"/>
    </row>
    <row r="473" spans="1:1" ht="13.5" customHeight="1">
      <c r="A473" s="115"/>
    </row>
    <row r="474" spans="1:1" ht="13.5" customHeight="1">
      <c r="A474" s="115"/>
    </row>
    <row r="475" spans="1:1" ht="13.5" customHeight="1">
      <c r="A475" s="115"/>
    </row>
    <row r="476" spans="1:1" ht="13.5" customHeight="1">
      <c r="A476" s="115"/>
    </row>
    <row r="477" spans="1:1" ht="13.5" customHeight="1">
      <c r="A477" s="115"/>
    </row>
    <row r="478" spans="1:1" ht="13.5" customHeight="1">
      <c r="A478" s="115"/>
    </row>
    <row r="479" spans="1:1" ht="13.5" customHeight="1">
      <c r="A479" s="115"/>
    </row>
    <row r="480" spans="1:1" ht="13.5" customHeight="1">
      <c r="A480" s="115"/>
    </row>
    <row r="481" spans="1:1" ht="13.5" customHeight="1">
      <c r="A481" s="115"/>
    </row>
    <row r="482" spans="1:1" ht="13.5" customHeight="1">
      <c r="A482" s="115"/>
    </row>
    <row r="483" spans="1:1" ht="13.5" customHeight="1">
      <c r="A483" s="115"/>
    </row>
    <row r="484" spans="1:1" ht="13.5" customHeight="1">
      <c r="A484" s="115"/>
    </row>
    <row r="485" spans="1:1" ht="13.5" customHeight="1">
      <c r="A485" s="115"/>
    </row>
    <row r="486" spans="1:1" ht="13.5" customHeight="1">
      <c r="A486" s="115"/>
    </row>
    <row r="487" spans="1:1" ht="13.5" customHeight="1">
      <c r="A487" s="115"/>
    </row>
    <row r="488" spans="1:1" ht="13.5" customHeight="1">
      <c r="A488" s="115"/>
    </row>
    <row r="489" spans="1:1" ht="13.5" customHeight="1">
      <c r="A489" s="115"/>
    </row>
    <row r="490" spans="1:1" ht="13.5" customHeight="1">
      <c r="A490" s="115"/>
    </row>
    <row r="491" spans="1:1" ht="13.5" customHeight="1">
      <c r="A491" s="115"/>
    </row>
    <row r="492" spans="1:1" ht="13.5" customHeight="1">
      <c r="A492" s="115"/>
    </row>
    <row r="493" spans="1:1" ht="13.5" customHeight="1">
      <c r="A493" s="115"/>
    </row>
    <row r="494" spans="1:1" ht="13.5" customHeight="1">
      <c r="A494" s="115"/>
    </row>
    <row r="495" spans="1:1" ht="13.5" customHeight="1">
      <c r="A495" s="115"/>
    </row>
    <row r="496" spans="1:1" ht="13.5" customHeight="1">
      <c r="A496" s="115"/>
    </row>
    <row r="497" spans="1:1" ht="13.5" customHeight="1">
      <c r="A497" s="115"/>
    </row>
    <row r="498" spans="1:1" ht="13.5" customHeight="1">
      <c r="A498" s="115"/>
    </row>
    <row r="499" spans="1:1" ht="13.5" customHeight="1">
      <c r="A499" s="115"/>
    </row>
    <row r="500" spans="1:1" ht="13.5" customHeight="1">
      <c r="A500" s="115"/>
    </row>
    <row r="501" spans="1:1" ht="13.5" customHeight="1">
      <c r="A501" s="115"/>
    </row>
    <row r="502" spans="1:1" ht="13.5" customHeight="1">
      <c r="A502" s="115"/>
    </row>
    <row r="503" spans="1:1" ht="13.5" customHeight="1">
      <c r="A503" s="115"/>
    </row>
    <row r="504" spans="1:1" ht="13.5" customHeight="1">
      <c r="A504" s="115"/>
    </row>
    <row r="505" spans="1:1" ht="13.5" customHeight="1">
      <c r="A505" s="115"/>
    </row>
    <row r="506" spans="1:1" ht="13.5" customHeight="1">
      <c r="A506" s="115"/>
    </row>
    <row r="507" spans="1:1" ht="13.5" customHeight="1">
      <c r="A507" s="115"/>
    </row>
    <row r="508" spans="1:1" ht="13.5" customHeight="1">
      <c r="A508" s="115"/>
    </row>
    <row r="509" spans="1:1" ht="13.5" customHeight="1">
      <c r="A509" s="115"/>
    </row>
    <row r="510" spans="1:1" ht="13.5" customHeight="1">
      <c r="A510" s="115"/>
    </row>
    <row r="511" spans="1:1" ht="13.5" customHeight="1">
      <c r="A511" s="115"/>
    </row>
    <row r="512" spans="1:1" ht="13.5" customHeight="1">
      <c r="A512" s="115"/>
    </row>
    <row r="513" spans="1:1" ht="13.5" customHeight="1">
      <c r="A513" s="115"/>
    </row>
    <row r="514" spans="1:1" ht="13.5" customHeight="1">
      <c r="A514" s="115"/>
    </row>
    <row r="515" spans="1:1" ht="13.5" customHeight="1">
      <c r="A515" s="115"/>
    </row>
    <row r="516" spans="1:1" ht="13.5" customHeight="1">
      <c r="A516" s="115"/>
    </row>
    <row r="517" spans="1:1" ht="13.5" customHeight="1">
      <c r="A517" s="115"/>
    </row>
    <row r="518" spans="1:1" ht="13.5" customHeight="1">
      <c r="A518" s="115"/>
    </row>
    <row r="519" spans="1:1" ht="13.5" customHeight="1">
      <c r="A519" s="115"/>
    </row>
    <row r="520" spans="1:1" ht="13.5" customHeight="1">
      <c r="A520" s="115"/>
    </row>
    <row r="521" spans="1:1" ht="13.5" customHeight="1">
      <c r="A521" s="115"/>
    </row>
    <row r="522" spans="1:1" ht="13.5" customHeight="1">
      <c r="A522" s="115"/>
    </row>
    <row r="523" spans="1:1" ht="13.5" customHeight="1">
      <c r="A523" s="115"/>
    </row>
    <row r="524" spans="1:1" ht="13.5" customHeight="1">
      <c r="A524" s="115"/>
    </row>
    <row r="525" spans="1:1" ht="13.5" customHeight="1">
      <c r="A525" s="115"/>
    </row>
    <row r="526" spans="1:1" ht="13.5" customHeight="1">
      <c r="A526" s="115"/>
    </row>
    <row r="527" spans="1:1" ht="13.5" customHeight="1">
      <c r="A527" s="115"/>
    </row>
    <row r="528" spans="1:1" ht="13.5" customHeight="1">
      <c r="A528" s="115"/>
    </row>
    <row r="529" spans="1:1" ht="13.5" customHeight="1">
      <c r="A529" s="115"/>
    </row>
    <row r="530" spans="1:1" ht="13.5" customHeight="1">
      <c r="A530" s="115"/>
    </row>
    <row r="531" spans="1:1" ht="13.5" customHeight="1">
      <c r="A531" s="115"/>
    </row>
    <row r="532" spans="1:1" ht="13.5" customHeight="1">
      <c r="A532" s="115"/>
    </row>
    <row r="533" spans="1:1" ht="13.5" customHeight="1">
      <c r="A533" s="115"/>
    </row>
    <row r="534" spans="1:1" ht="13.5" customHeight="1">
      <c r="A534" s="115"/>
    </row>
    <row r="535" spans="1:1" ht="13.5" customHeight="1">
      <c r="A535" s="115"/>
    </row>
    <row r="536" spans="1:1" ht="13.5" customHeight="1">
      <c r="A536" s="115"/>
    </row>
    <row r="537" spans="1:1" ht="13.5" customHeight="1">
      <c r="A537" s="115"/>
    </row>
    <row r="538" spans="1:1" ht="13.5" customHeight="1">
      <c r="A538" s="115"/>
    </row>
    <row r="539" spans="1:1" ht="13.5" customHeight="1">
      <c r="A539" s="115"/>
    </row>
    <row r="540" spans="1:1" ht="13.5" customHeight="1">
      <c r="A540" s="115"/>
    </row>
    <row r="541" spans="1:1" ht="13.5" customHeight="1">
      <c r="A541" s="115"/>
    </row>
    <row r="542" spans="1:1" ht="13.5" customHeight="1">
      <c r="A542" s="115"/>
    </row>
    <row r="543" spans="1:1" ht="13.5" customHeight="1">
      <c r="A543" s="115"/>
    </row>
    <row r="544" spans="1:1" ht="13.5" customHeight="1">
      <c r="A544" s="115"/>
    </row>
    <row r="545" spans="1:1" ht="13.5" customHeight="1">
      <c r="A545" s="115"/>
    </row>
    <row r="546" spans="1:1" ht="13.5" customHeight="1">
      <c r="A546" s="115"/>
    </row>
    <row r="547" spans="1:1" ht="13.5" customHeight="1">
      <c r="A547" s="115"/>
    </row>
    <row r="548" spans="1:1" ht="13.5" customHeight="1">
      <c r="A548" s="115"/>
    </row>
    <row r="549" spans="1:1" ht="13.5" customHeight="1">
      <c r="A549" s="115"/>
    </row>
    <row r="550" spans="1:1" ht="13.5" customHeight="1">
      <c r="A550" s="115"/>
    </row>
    <row r="551" spans="1:1" ht="13.5" customHeight="1">
      <c r="A551" s="115"/>
    </row>
    <row r="552" spans="1:1" ht="13.5" customHeight="1">
      <c r="A552" s="115"/>
    </row>
    <row r="553" spans="1:1" ht="13.5" customHeight="1">
      <c r="A553" s="115"/>
    </row>
    <row r="554" spans="1:1" ht="13.5" customHeight="1">
      <c r="A554" s="115"/>
    </row>
    <row r="555" spans="1:1" ht="13.5" customHeight="1">
      <c r="A555" s="115"/>
    </row>
    <row r="556" spans="1:1" ht="13.5" customHeight="1">
      <c r="A556" s="115"/>
    </row>
    <row r="557" spans="1:1" ht="13.5" customHeight="1">
      <c r="A557" s="115"/>
    </row>
    <row r="558" spans="1:1" ht="13.5" customHeight="1">
      <c r="A558" s="115"/>
    </row>
    <row r="559" spans="1:1" ht="13.5" customHeight="1">
      <c r="A559" s="115"/>
    </row>
    <row r="560" spans="1:1" ht="13.5" customHeight="1">
      <c r="A560" s="115"/>
    </row>
    <row r="561" spans="1:1" ht="13.5" customHeight="1">
      <c r="A561" s="115"/>
    </row>
    <row r="562" spans="1:1" ht="13.5" customHeight="1">
      <c r="A562" s="115"/>
    </row>
    <row r="563" spans="1:1" ht="13.5" customHeight="1">
      <c r="A563" s="115"/>
    </row>
    <row r="564" spans="1:1" ht="13.5" customHeight="1">
      <c r="A564" s="115"/>
    </row>
    <row r="565" spans="1:1" ht="13.5" customHeight="1">
      <c r="A565" s="115"/>
    </row>
    <row r="566" spans="1:1" ht="13.5" customHeight="1">
      <c r="A566" s="115"/>
    </row>
    <row r="567" spans="1:1" ht="13.5" customHeight="1">
      <c r="A567" s="115"/>
    </row>
    <row r="568" spans="1:1" ht="13.5" customHeight="1">
      <c r="A568" s="115"/>
    </row>
    <row r="569" spans="1:1" ht="13.5" customHeight="1">
      <c r="A569" s="115"/>
    </row>
    <row r="570" spans="1:1" ht="13.5" customHeight="1">
      <c r="A570" s="115"/>
    </row>
    <row r="571" spans="1:1" ht="13.5" customHeight="1">
      <c r="A571" s="115"/>
    </row>
    <row r="572" spans="1:1" ht="13.5" customHeight="1">
      <c r="A572" s="115"/>
    </row>
    <row r="573" spans="1:1" ht="13.5" customHeight="1">
      <c r="A573" s="115"/>
    </row>
    <row r="574" spans="1:1" ht="13.5" customHeight="1">
      <c r="A574" s="115"/>
    </row>
    <row r="575" spans="1:1" ht="13.5" customHeight="1">
      <c r="A575" s="115"/>
    </row>
    <row r="576" spans="1:1" ht="13.5" customHeight="1">
      <c r="A576" s="115"/>
    </row>
    <row r="577" spans="1:1" ht="13.5" customHeight="1">
      <c r="A577" s="115"/>
    </row>
    <row r="578" spans="1:1" ht="13.5" customHeight="1">
      <c r="A578" s="115"/>
    </row>
    <row r="579" spans="1:1" ht="13.5" customHeight="1">
      <c r="A579" s="115"/>
    </row>
    <row r="580" spans="1:1" ht="13.5" customHeight="1">
      <c r="A580" s="115"/>
    </row>
    <row r="581" spans="1:1" ht="13.5" customHeight="1">
      <c r="A581" s="115"/>
    </row>
    <row r="582" spans="1:1" ht="13.5" customHeight="1">
      <c r="A582" s="115"/>
    </row>
    <row r="583" spans="1:1" ht="13.5" customHeight="1">
      <c r="A583" s="115"/>
    </row>
    <row r="584" spans="1:1" ht="13.5" customHeight="1">
      <c r="A584" s="115"/>
    </row>
    <row r="585" spans="1:1" ht="13.5" customHeight="1">
      <c r="A585" s="115"/>
    </row>
    <row r="586" spans="1:1" ht="13.5" customHeight="1">
      <c r="A586" s="115"/>
    </row>
    <row r="587" spans="1:1" ht="13.5" customHeight="1">
      <c r="A587" s="115"/>
    </row>
    <row r="588" spans="1:1" ht="13.5" customHeight="1">
      <c r="A588" s="115"/>
    </row>
    <row r="589" spans="1:1" ht="13.5" customHeight="1">
      <c r="A589" s="115"/>
    </row>
    <row r="590" spans="1:1" ht="13.5" customHeight="1">
      <c r="A590" s="115"/>
    </row>
    <row r="591" spans="1:1" ht="13.5" customHeight="1">
      <c r="A591" s="115"/>
    </row>
    <row r="592" spans="1:1" ht="13.5" customHeight="1">
      <c r="A592" s="115"/>
    </row>
    <row r="593" spans="1:1" ht="13.5" customHeight="1">
      <c r="A593" s="115"/>
    </row>
    <row r="594" spans="1:1" ht="13.5" customHeight="1">
      <c r="A594" s="115"/>
    </row>
    <row r="595" spans="1:1" ht="13.5" customHeight="1">
      <c r="A595" s="115"/>
    </row>
    <row r="596" spans="1:1" ht="13.5" customHeight="1">
      <c r="A596" s="115"/>
    </row>
    <row r="597" spans="1:1" ht="13.5" customHeight="1">
      <c r="A597" s="115"/>
    </row>
    <row r="598" spans="1:1" ht="13.5" customHeight="1">
      <c r="A598" s="115"/>
    </row>
    <row r="599" spans="1:1" ht="13.5" customHeight="1">
      <c r="A599" s="115"/>
    </row>
    <row r="600" spans="1:1" ht="13.5" customHeight="1">
      <c r="A600" s="115"/>
    </row>
    <row r="601" spans="1:1" ht="13.5" customHeight="1">
      <c r="A601" s="115"/>
    </row>
    <row r="602" spans="1:1" ht="13.5" customHeight="1">
      <c r="A602" s="115"/>
    </row>
    <row r="603" spans="1:1" ht="13.5" customHeight="1">
      <c r="A603" s="115"/>
    </row>
    <row r="604" spans="1:1" ht="13.5" customHeight="1">
      <c r="A604" s="115"/>
    </row>
    <row r="605" spans="1:1" ht="13.5" customHeight="1">
      <c r="A605" s="115"/>
    </row>
    <row r="606" spans="1:1" ht="13.5" customHeight="1">
      <c r="A606" s="115"/>
    </row>
    <row r="607" spans="1:1" ht="13.5" customHeight="1">
      <c r="A607" s="115"/>
    </row>
    <row r="608" spans="1:1" ht="13.5" customHeight="1">
      <c r="A608" s="115"/>
    </row>
    <row r="609" spans="1:1" ht="13.5" customHeight="1">
      <c r="A609" s="115"/>
    </row>
    <row r="610" spans="1:1" ht="13.5" customHeight="1">
      <c r="A610" s="115"/>
    </row>
    <row r="611" spans="1:1" ht="13.5" customHeight="1">
      <c r="A611" s="115"/>
    </row>
    <row r="612" spans="1:1" ht="13.5" customHeight="1">
      <c r="A612" s="115"/>
    </row>
    <row r="613" spans="1:1" ht="13.5" customHeight="1">
      <c r="A613" s="115"/>
    </row>
    <row r="614" spans="1:1" ht="13.5" customHeight="1">
      <c r="A614" s="115"/>
    </row>
    <row r="615" spans="1:1" ht="13.5" customHeight="1">
      <c r="A615" s="115"/>
    </row>
    <row r="616" spans="1:1" ht="13.5" customHeight="1">
      <c r="A616" s="115"/>
    </row>
    <row r="617" spans="1:1" ht="13.5" customHeight="1">
      <c r="A617" s="115"/>
    </row>
    <row r="618" spans="1:1" ht="13.5" customHeight="1">
      <c r="A618" s="115"/>
    </row>
    <row r="619" spans="1:1" ht="13.5" customHeight="1">
      <c r="A619" s="115"/>
    </row>
    <row r="620" spans="1:1" ht="13.5" customHeight="1">
      <c r="A620" s="115"/>
    </row>
    <row r="621" spans="1:1" ht="13.5" customHeight="1">
      <c r="A621" s="115"/>
    </row>
    <row r="622" spans="1:1" ht="13.5" customHeight="1">
      <c r="A622" s="115"/>
    </row>
    <row r="623" spans="1:1" ht="13.5" customHeight="1">
      <c r="A623" s="115"/>
    </row>
    <row r="624" spans="1:1" ht="13.5" customHeight="1">
      <c r="A624" s="115"/>
    </row>
    <row r="625" spans="1:1" ht="13.5" customHeight="1">
      <c r="A625" s="115"/>
    </row>
    <row r="626" spans="1:1" ht="13.5" customHeight="1">
      <c r="A626" s="115"/>
    </row>
    <row r="627" spans="1:1" ht="13.5" customHeight="1">
      <c r="A627" s="115"/>
    </row>
    <row r="628" spans="1:1" ht="13.5" customHeight="1">
      <c r="A628" s="115"/>
    </row>
    <row r="629" spans="1:1" ht="13.5" customHeight="1">
      <c r="A629" s="115"/>
    </row>
    <row r="630" spans="1:1" ht="13.5" customHeight="1">
      <c r="A630" s="115"/>
    </row>
    <row r="631" spans="1:1" ht="13.5" customHeight="1">
      <c r="A631" s="115"/>
    </row>
    <row r="632" spans="1:1" ht="13.5" customHeight="1">
      <c r="A632" s="115"/>
    </row>
    <row r="633" spans="1:1" ht="13.5" customHeight="1">
      <c r="A633" s="115"/>
    </row>
    <row r="634" spans="1:1" ht="13.5" customHeight="1">
      <c r="A634" s="115"/>
    </row>
    <row r="635" spans="1:1" ht="13.5" customHeight="1">
      <c r="A635" s="115"/>
    </row>
    <row r="636" spans="1:1" ht="13.5" customHeight="1">
      <c r="A636" s="115"/>
    </row>
    <row r="637" spans="1:1" ht="13.5" customHeight="1">
      <c r="A637" s="115"/>
    </row>
    <row r="638" spans="1:1" ht="13.5" customHeight="1">
      <c r="A638" s="115"/>
    </row>
    <row r="639" spans="1:1" ht="13.5" customHeight="1">
      <c r="A639" s="115"/>
    </row>
    <row r="640" spans="1:1" ht="13.5" customHeight="1">
      <c r="A640" s="115"/>
    </row>
    <row r="641" spans="1:1" ht="13.5" customHeight="1">
      <c r="A641" s="115"/>
    </row>
    <row r="642" spans="1:1" ht="13.5" customHeight="1">
      <c r="A642" s="115"/>
    </row>
    <row r="643" spans="1:1" ht="13.5" customHeight="1">
      <c r="A643" s="115"/>
    </row>
    <row r="644" spans="1:1" ht="13.5" customHeight="1">
      <c r="A644" s="115"/>
    </row>
    <row r="645" spans="1:1" ht="13.5" customHeight="1">
      <c r="A645" s="115"/>
    </row>
    <row r="646" spans="1:1" ht="13.5" customHeight="1">
      <c r="A646" s="115"/>
    </row>
    <row r="647" spans="1:1" ht="13.5" customHeight="1">
      <c r="A647" s="115"/>
    </row>
    <row r="648" spans="1:1" ht="13.5" customHeight="1">
      <c r="A648" s="115"/>
    </row>
    <row r="649" spans="1:1" ht="13.5" customHeight="1">
      <c r="A649" s="115"/>
    </row>
    <row r="650" spans="1:1" ht="13.5" customHeight="1">
      <c r="A650" s="115"/>
    </row>
    <row r="651" spans="1:1" ht="13.5" customHeight="1">
      <c r="A651" s="115"/>
    </row>
    <row r="652" spans="1:1" ht="13.5" customHeight="1">
      <c r="A652" s="115"/>
    </row>
    <row r="653" spans="1:1" ht="13.5" customHeight="1">
      <c r="A653" s="115"/>
    </row>
    <row r="654" spans="1:1" ht="13.5" customHeight="1">
      <c r="A654" s="115"/>
    </row>
    <row r="655" spans="1:1" ht="13.5" customHeight="1">
      <c r="A655" s="115"/>
    </row>
    <row r="656" spans="1:1" ht="13.5" customHeight="1">
      <c r="A656" s="115"/>
    </row>
    <row r="657" spans="1:1" ht="13.5" customHeight="1">
      <c r="A657" s="115"/>
    </row>
    <row r="658" spans="1:1" ht="13.5" customHeight="1">
      <c r="A658" s="115"/>
    </row>
    <row r="659" spans="1:1" ht="13.5" customHeight="1">
      <c r="A659" s="115"/>
    </row>
    <row r="660" spans="1:1" ht="13.5" customHeight="1">
      <c r="A660" s="115"/>
    </row>
    <row r="661" spans="1:1" ht="13.5" customHeight="1">
      <c r="A661" s="115"/>
    </row>
    <row r="662" spans="1:1" ht="13.5" customHeight="1">
      <c r="A662" s="115"/>
    </row>
    <row r="663" spans="1:1" ht="13.5" customHeight="1">
      <c r="A663" s="115"/>
    </row>
    <row r="664" spans="1:1" ht="13.5" customHeight="1">
      <c r="A664" s="115"/>
    </row>
    <row r="665" spans="1:1" ht="13.5" customHeight="1">
      <c r="A665" s="115"/>
    </row>
    <row r="666" spans="1:1" ht="13.5" customHeight="1">
      <c r="A666" s="115"/>
    </row>
    <row r="667" spans="1:1" ht="13.5" customHeight="1">
      <c r="A667" s="115"/>
    </row>
    <row r="668" spans="1:1" ht="13.5" customHeight="1">
      <c r="A668" s="115"/>
    </row>
    <row r="669" spans="1:1" ht="13.5" customHeight="1">
      <c r="A669" s="115"/>
    </row>
    <row r="670" spans="1:1" ht="13.5" customHeight="1">
      <c r="A670" s="115"/>
    </row>
    <row r="671" spans="1:1" ht="13.5" customHeight="1">
      <c r="A671" s="115"/>
    </row>
    <row r="672" spans="1:1" ht="13.5" customHeight="1">
      <c r="A672" s="115"/>
    </row>
    <row r="673" spans="1:1" ht="13.5" customHeight="1">
      <c r="A673" s="115"/>
    </row>
    <row r="674" spans="1:1" ht="13.5" customHeight="1">
      <c r="A674" s="115"/>
    </row>
    <row r="675" spans="1:1" ht="13.5" customHeight="1">
      <c r="A675" s="115"/>
    </row>
    <row r="676" spans="1:1" ht="13.5" customHeight="1">
      <c r="A676" s="115"/>
    </row>
    <row r="677" spans="1:1" ht="13.5" customHeight="1">
      <c r="A677" s="115"/>
    </row>
    <row r="678" spans="1:1" ht="13.5" customHeight="1">
      <c r="A678" s="115"/>
    </row>
    <row r="679" spans="1:1" ht="13.5" customHeight="1">
      <c r="A679" s="115"/>
    </row>
    <row r="680" spans="1:1" ht="13.5" customHeight="1">
      <c r="A680" s="115"/>
    </row>
    <row r="681" spans="1:1" ht="13.5" customHeight="1">
      <c r="A681" s="115"/>
    </row>
    <row r="682" spans="1:1" ht="13.5" customHeight="1">
      <c r="A682" s="115"/>
    </row>
    <row r="683" spans="1:1" ht="13.5" customHeight="1">
      <c r="A683" s="115"/>
    </row>
    <row r="684" spans="1:1" ht="13.5" customHeight="1">
      <c r="A684" s="115"/>
    </row>
    <row r="685" spans="1:1" ht="13.5" customHeight="1">
      <c r="A685" s="115"/>
    </row>
    <row r="686" spans="1:1" ht="13.5" customHeight="1">
      <c r="A686" s="115"/>
    </row>
    <row r="687" spans="1:1" ht="13.5" customHeight="1">
      <c r="A687" s="115"/>
    </row>
    <row r="688" spans="1:1" ht="13.5" customHeight="1">
      <c r="A688" s="115"/>
    </row>
    <row r="689" spans="1:1" ht="13.5" customHeight="1">
      <c r="A689" s="115"/>
    </row>
    <row r="690" spans="1:1" ht="13.5" customHeight="1">
      <c r="A690" s="115"/>
    </row>
    <row r="691" spans="1:1" ht="13.5" customHeight="1">
      <c r="A691" s="115"/>
    </row>
    <row r="692" spans="1:1" ht="13.5" customHeight="1">
      <c r="A692" s="115"/>
    </row>
    <row r="693" spans="1:1" ht="13.5" customHeight="1">
      <c r="A693" s="115"/>
    </row>
    <row r="694" spans="1:1" ht="13.5" customHeight="1">
      <c r="A694" s="115"/>
    </row>
    <row r="695" spans="1:1" ht="13.5" customHeight="1">
      <c r="A695" s="115"/>
    </row>
    <row r="696" spans="1:1" ht="13.5" customHeight="1">
      <c r="A696" s="115"/>
    </row>
    <row r="697" spans="1:1" ht="13.5" customHeight="1">
      <c r="A697" s="115"/>
    </row>
    <row r="698" spans="1:1" ht="13.5" customHeight="1">
      <c r="A698" s="115"/>
    </row>
    <row r="699" spans="1:1" ht="13.5" customHeight="1">
      <c r="A699" s="115"/>
    </row>
    <row r="700" spans="1:1" ht="13.5" customHeight="1">
      <c r="A700" s="115"/>
    </row>
    <row r="701" spans="1:1" ht="13.5" customHeight="1">
      <c r="A701" s="115"/>
    </row>
    <row r="702" spans="1:1" ht="13.5" customHeight="1">
      <c r="A702" s="115"/>
    </row>
    <row r="703" spans="1:1" ht="13.5" customHeight="1">
      <c r="A703" s="115"/>
    </row>
    <row r="704" spans="1:1" ht="13.5" customHeight="1">
      <c r="A704" s="115"/>
    </row>
    <row r="705" spans="1:1" ht="13.5" customHeight="1">
      <c r="A705" s="115"/>
    </row>
    <row r="706" spans="1:1" ht="13.5" customHeight="1">
      <c r="A706" s="115"/>
    </row>
    <row r="707" spans="1:1" ht="13.5" customHeight="1">
      <c r="A707" s="115"/>
    </row>
    <row r="708" spans="1:1" ht="13.5" customHeight="1">
      <c r="A708" s="115"/>
    </row>
    <row r="709" spans="1:1" ht="13.5" customHeight="1">
      <c r="A709" s="115"/>
    </row>
    <row r="710" spans="1:1" ht="13.5" customHeight="1">
      <c r="A710" s="115"/>
    </row>
    <row r="711" spans="1:1" ht="13.5" customHeight="1">
      <c r="A711" s="115"/>
    </row>
    <row r="712" spans="1:1" ht="13.5" customHeight="1">
      <c r="A712" s="115"/>
    </row>
    <row r="713" spans="1:1" ht="13.5" customHeight="1">
      <c r="A713" s="115"/>
    </row>
    <row r="714" spans="1:1" ht="13.5" customHeight="1">
      <c r="A714" s="115"/>
    </row>
    <row r="715" spans="1:1" ht="13.5" customHeight="1">
      <c r="A715" s="115"/>
    </row>
    <row r="716" spans="1:1" ht="13.5" customHeight="1">
      <c r="A716" s="115"/>
    </row>
    <row r="717" spans="1:1" ht="13.5" customHeight="1">
      <c r="A717" s="115"/>
    </row>
    <row r="718" spans="1:1" ht="13.5" customHeight="1">
      <c r="A718" s="115"/>
    </row>
    <row r="719" spans="1:1" ht="13.5" customHeight="1">
      <c r="A719" s="115"/>
    </row>
    <row r="720" spans="1:1" ht="13.5" customHeight="1">
      <c r="A720" s="115"/>
    </row>
    <row r="721" spans="1:1" ht="13.5" customHeight="1">
      <c r="A721" s="115"/>
    </row>
    <row r="722" spans="1:1" ht="13.5" customHeight="1">
      <c r="A722" s="115"/>
    </row>
    <row r="723" spans="1:1" ht="13.5" customHeight="1">
      <c r="A723" s="115"/>
    </row>
    <row r="724" spans="1:1" ht="13.5" customHeight="1">
      <c r="A724" s="115"/>
    </row>
    <row r="725" spans="1:1" ht="13.5" customHeight="1">
      <c r="A725" s="115"/>
    </row>
    <row r="726" spans="1:1" ht="13.5" customHeight="1">
      <c r="A726" s="115"/>
    </row>
    <row r="727" spans="1:1" ht="13.5" customHeight="1">
      <c r="A727" s="115"/>
    </row>
    <row r="728" spans="1:1" ht="13.5" customHeight="1">
      <c r="A728" s="115"/>
    </row>
    <row r="729" spans="1:1" ht="13.5" customHeight="1">
      <c r="A729" s="115"/>
    </row>
    <row r="730" spans="1:1" ht="13.5" customHeight="1">
      <c r="A730" s="115"/>
    </row>
    <row r="731" spans="1:1" ht="13.5" customHeight="1">
      <c r="A731" s="115"/>
    </row>
    <row r="732" spans="1:1" ht="13.5" customHeight="1">
      <c r="A732" s="115"/>
    </row>
    <row r="733" spans="1:1" ht="13.5" customHeight="1">
      <c r="A733" s="115"/>
    </row>
    <row r="734" spans="1:1" ht="13.5" customHeight="1">
      <c r="A734" s="115"/>
    </row>
    <row r="735" spans="1:1" ht="13.5" customHeight="1">
      <c r="A735" s="115"/>
    </row>
    <row r="736" spans="1:1" ht="13.5" customHeight="1">
      <c r="A736" s="115"/>
    </row>
    <row r="737" spans="1:1" ht="13.5" customHeight="1">
      <c r="A737" s="115"/>
    </row>
    <row r="738" spans="1:1" ht="13.5" customHeight="1">
      <c r="A738" s="115"/>
    </row>
    <row r="739" spans="1:1" ht="13.5" customHeight="1">
      <c r="A739" s="115"/>
    </row>
    <row r="740" spans="1:1" ht="13.5" customHeight="1">
      <c r="A740" s="115"/>
    </row>
    <row r="741" spans="1:1" ht="13.5" customHeight="1">
      <c r="A741" s="115"/>
    </row>
    <row r="742" spans="1:1" ht="13.5" customHeight="1">
      <c r="A742" s="115"/>
    </row>
    <row r="743" spans="1:1" ht="13.5" customHeight="1">
      <c r="A743" s="115"/>
    </row>
    <row r="744" spans="1:1" ht="13.5" customHeight="1">
      <c r="A744" s="115"/>
    </row>
    <row r="745" spans="1:1" ht="13.5" customHeight="1">
      <c r="A745" s="115"/>
    </row>
    <row r="746" spans="1:1" ht="13.5" customHeight="1">
      <c r="A746" s="115"/>
    </row>
    <row r="747" spans="1:1" ht="13.5" customHeight="1">
      <c r="A747" s="115"/>
    </row>
    <row r="748" spans="1:1" ht="13.5" customHeight="1">
      <c r="A748" s="115"/>
    </row>
    <row r="749" spans="1:1" ht="13.5" customHeight="1">
      <c r="A749" s="115"/>
    </row>
    <row r="750" spans="1:1" ht="13.5" customHeight="1">
      <c r="A750" s="115"/>
    </row>
    <row r="751" spans="1:1" ht="13.5" customHeight="1">
      <c r="A751" s="115"/>
    </row>
    <row r="752" spans="1:1" ht="13.5" customHeight="1">
      <c r="A752" s="115"/>
    </row>
    <row r="753" spans="1:1" ht="13.5" customHeight="1">
      <c r="A753" s="115"/>
    </row>
    <row r="754" spans="1:1" ht="13.5" customHeight="1">
      <c r="A754" s="115"/>
    </row>
    <row r="755" spans="1:1" ht="13.5" customHeight="1">
      <c r="A755" s="115"/>
    </row>
    <row r="756" spans="1:1" ht="13.5" customHeight="1">
      <c r="A756" s="115"/>
    </row>
    <row r="757" spans="1:1" ht="13.5" customHeight="1">
      <c r="A757" s="115"/>
    </row>
    <row r="758" spans="1:1" ht="13.5" customHeight="1">
      <c r="A758" s="115"/>
    </row>
    <row r="759" spans="1:1" ht="13.5" customHeight="1">
      <c r="A759" s="115"/>
    </row>
    <row r="760" spans="1:1" ht="13.5" customHeight="1">
      <c r="A760" s="115"/>
    </row>
    <row r="761" spans="1:1" ht="13.5" customHeight="1">
      <c r="A761" s="115"/>
    </row>
    <row r="762" spans="1:1" ht="13.5" customHeight="1">
      <c r="A762" s="115"/>
    </row>
    <row r="763" spans="1:1" ht="13.5" customHeight="1">
      <c r="A763" s="115"/>
    </row>
    <row r="764" spans="1:1" ht="13.5" customHeight="1">
      <c r="A764" s="115"/>
    </row>
    <row r="765" spans="1:1" ht="13.5" customHeight="1">
      <c r="A765" s="115"/>
    </row>
    <row r="766" spans="1:1" ht="13.5" customHeight="1">
      <c r="A766" s="115"/>
    </row>
    <row r="767" spans="1:1" ht="13.5" customHeight="1">
      <c r="A767" s="115"/>
    </row>
    <row r="768" spans="1:1" ht="13.5" customHeight="1">
      <c r="A768" s="115"/>
    </row>
    <row r="769" spans="1:1" ht="13.5" customHeight="1">
      <c r="A769" s="115"/>
    </row>
    <row r="770" spans="1:1" ht="13.5" customHeight="1">
      <c r="A770" s="115"/>
    </row>
    <row r="771" spans="1:1" ht="13.5" customHeight="1">
      <c r="A771" s="115"/>
    </row>
    <row r="772" spans="1:1" ht="13.5" customHeight="1">
      <c r="A772" s="115"/>
    </row>
    <row r="773" spans="1:1" ht="13.5" customHeight="1">
      <c r="A773" s="115"/>
    </row>
    <row r="774" spans="1:1" ht="13.5" customHeight="1">
      <c r="A774" s="115"/>
    </row>
    <row r="775" spans="1:1" ht="13.5" customHeight="1">
      <c r="A775" s="115"/>
    </row>
    <row r="776" spans="1:1" ht="13.5" customHeight="1">
      <c r="A776" s="115"/>
    </row>
    <row r="777" spans="1:1" ht="13.5" customHeight="1">
      <c r="A777" s="115"/>
    </row>
    <row r="778" spans="1:1" ht="13.5" customHeight="1">
      <c r="A778" s="115"/>
    </row>
    <row r="779" spans="1:1" ht="13.5" customHeight="1">
      <c r="A779" s="115"/>
    </row>
    <row r="780" spans="1:1" ht="13.5" customHeight="1">
      <c r="A780" s="115"/>
    </row>
    <row r="781" spans="1:1" ht="13.5" customHeight="1">
      <c r="A781" s="115"/>
    </row>
    <row r="782" spans="1:1" ht="13.5" customHeight="1">
      <c r="A782" s="115"/>
    </row>
    <row r="783" spans="1:1" ht="13.5" customHeight="1">
      <c r="A783" s="115"/>
    </row>
    <row r="784" spans="1:1" ht="13.5" customHeight="1">
      <c r="A784" s="115"/>
    </row>
    <row r="785" spans="1:1" ht="13.5" customHeight="1">
      <c r="A785" s="115"/>
    </row>
    <row r="786" spans="1:1" ht="13.5" customHeight="1">
      <c r="A786" s="115"/>
    </row>
    <row r="787" spans="1:1" ht="13.5" customHeight="1">
      <c r="A787" s="115"/>
    </row>
    <row r="788" spans="1:1" ht="13.5" customHeight="1">
      <c r="A788" s="115"/>
    </row>
    <row r="789" spans="1:1" ht="13.5" customHeight="1">
      <c r="A789" s="115"/>
    </row>
    <row r="790" spans="1:1" ht="13.5" customHeight="1">
      <c r="A790" s="115"/>
    </row>
    <row r="791" spans="1:1" ht="13.5" customHeight="1">
      <c r="A791" s="115"/>
    </row>
    <row r="792" spans="1:1" ht="13.5" customHeight="1">
      <c r="A792" s="115"/>
    </row>
    <row r="793" spans="1:1" ht="13.5" customHeight="1">
      <c r="A793" s="115"/>
    </row>
    <row r="794" spans="1:1" ht="13.5" customHeight="1">
      <c r="A794" s="115"/>
    </row>
    <row r="795" spans="1:1" ht="13.5" customHeight="1">
      <c r="A795" s="115"/>
    </row>
    <row r="796" spans="1:1" ht="13.5" customHeight="1">
      <c r="A796" s="115"/>
    </row>
    <row r="797" spans="1:1" ht="13.5" customHeight="1">
      <c r="A797" s="115"/>
    </row>
    <row r="798" spans="1:1" ht="13.5" customHeight="1">
      <c r="A798" s="115"/>
    </row>
    <row r="799" spans="1:1" ht="13.5" customHeight="1">
      <c r="A799" s="115"/>
    </row>
    <row r="800" spans="1:1" ht="13.5" customHeight="1">
      <c r="A800" s="115"/>
    </row>
    <row r="801" spans="1:1" ht="13.5" customHeight="1">
      <c r="A801" s="115"/>
    </row>
    <row r="802" spans="1:1" ht="13.5" customHeight="1">
      <c r="A802" s="115"/>
    </row>
    <row r="803" spans="1:1" ht="13.5" customHeight="1">
      <c r="A803" s="115"/>
    </row>
    <row r="804" spans="1:1" ht="13.5" customHeight="1">
      <c r="A804" s="115"/>
    </row>
    <row r="805" spans="1:1" ht="13.5" customHeight="1">
      <c r="A805" s="115"/>
    </row>
    <row r="806" spans="1:1" ht="13.5" customHeight="1">
      <c r="A806" s="115"/>
    </row>
    <row r="807" spans="1:1" ht="13.5" customHeight="1">
      <c r="A807" s="115"/>
    </row>
    <row r="808" spans="1:1" ht="13.5" customHeight="1">
      <c r="A808" s="115"/>
    </row>
    <row r="809" spans="1:1" ht="13.5" customHeight="1">
      <c r="A809" s="115"/>
    </row>
    <row r="810" spans="1:1" ht="13.5" customHeight="1">
      <c r="A810" s="115"/>
    </row>
    <row r="811" spans="1:1" ht="13.5" customHeight="1">
      <c r="A811" s="115"/>
    </row>
    <row r="812" spans="1:1" ht="13.5" customHeight="1">
      <c r="A812" s="115"/>
    </row>
    <row r="813" spans="1:1" ht="13.5" customHeight="1">
      <c r="A813" s="115"/>
    </row>
    <row r="814" spans="1:1" ht="13.5" customHeight="1">
      <c r="A814" s="115"/>
    </row>
    <row r="815" spans="1:1" ht="13.5" customHeight="1">
      <c r="A815" s="115"/>
    </row>
    <row r="816" spans="1:1" ht="13.5" customHeight="1">
      <c r="A816" s="115"/>
    </row>
    <row r="817" spans="1:1" ht="13.5" customHeight="1">
      <c r="A817" s="115"/>
    </row>
    <row r="818" spans="1:1" ht="13.5" customHeight="1">
      <c r="A818" s="115"/>
    </row>
    <row r="819" spans="1:1" ht="13.5" customHeight="1">
      <c r="A819" s="115"/>
    </row>
    <row r="820" spans="1:1" ht="13.5" customHeight="1">
      <c r="A820" s="115"/>
    </row>
    <row r="821" spans="1:1" ht="13.5" customHeight="1">
      <c r="A821" s="115"/>
    </row>
    <row r="822" spans="1:1" ht="13.5" customHeight="1">
      <c r="A822" s="115"/>
    </row>
    <row r="823" spans="1:1" ht="13.5" customHeight="1">
      <c r="A823" s="115"/>
    </row>
    <row r="824" spans="1:1" ht="13.5" customHeight="1">
      <c r="A824" s="115"/>
    </row>
    <row r="825" spans="1:1" ht="13.5" customHeight="1">
      <c r="A825" s="115"/>
    </row>
    <row r="826" spans="1:1" ht="13.5" customHeight="1">
      <c r="A826" s="115"/>
    </row>
    <row r="827" spans="1:1" ht="13.5" customHeight="1">
      <c r="A827" s="115"/>
    </row>
    <row r="828" spans="1:1" ht="13.5" customHeight="1">
      <c r="A828" s="115"/>
    </row>
    <row r="829" spans="1:1" ht="13.5" customHeight="1">
      <c r="A829" s="115"/>
    </row>
    <row r="830" spans="1:1" ht="13.5" customHeight="1">
      <c r="A830" s="115"/>
    </row>
    <row r="831" spans="1:1" ht="13.5" customHeight="1">
      <c r="A831" s="115"/>
    </row>
    <row r="832" spans="1:1" ht="13.5" customHeight="1">
      <c r="A832" s="115"/>
    </row>
    <row r="833" spans="1:1" ht="13.5" customHeight="1">
      <c r="A833" s="115"/>
    </row>
    <row r="834" spans="1:1" ht="13.5" customHeight="1">
      <c r="A834" s="115"/>
    </row>
    <row r="835" spans="1:1" ht="13.5" customHeight="1">
      <c r="A835" s="115"/>
    </row>
    <row r="836" spans="1:1" ht="13.5" customHeight="1">
      <c r="A836" s="115"/>
    </row>
    <row r="837" spans="1:1" ht="13.5" customHeight="1">
      <c r="A837" s="115"/>
    </row>
    <row r="838" spans="1:1" ht="13.5" customHeight="1">
      <c r="A838" s="115"/>
    </row>
    <row r="839" spans="1:1" ht="13.5" customHeight="1">
      <c r="A839" s="115"/>
    </row>
    <row r="840" spans="1:1" ht="13.5" customHeight="1">
      <c r="A840" s="115"/>
    </row>
    <row r="841" spans="1:1" ht="13.5" customHeight="1">
      <c r="A841" s="115"/>
    </row>
    <row r="842" spans="1:1" ht="13.5" customHeight="1">
      <c r="A842" s="115"/>
    </row>
    <row r="843" spans="1:1" ht="13.5" customHeight="1">
      <c r="A843" s="115"/>
    </row>
    <row r="844" spans="1:1" ht="13.5" customHeight="1">
      <c r="A844" s="115"/>
    </row>
    <row r="845" spans="1:1" ht="13.5" customHeight="1">
      <c r="A845" s="115"/>
    </row>
    <row r="846" spans="1:1" ht="13.5" customHeight="1">
      <c r="A846" s="115"/>
    </row>
    <row r="847" spans="1:1" ht="13.5" customHeight="1">
      <c r="A847" s="115"/>
    </row>
    <row r="848" spans="1:1" ht="13.5" customHeight="1">
      <c r="A848" s="115"/>
    </row>
    <row r="849" spans="1:1" ht="13.5" customHeight="1">
      <c r="A849" s="115"/>
    </row>
    <row r="850" spans="1:1" ht="13.5" customHeight="1">
      <c r="A850" s="115"/>
    </row>
    <row r="851" spans="1:1" ht="13.5" customHeight="1">
      <c r="A851" s="115"/>
    </row>
    <row r="852" spans="1:1" ht="13.5" customHeight="1">
      <c r="A852" s="115"/>
    </row>
    <row r="853" spans="1:1" ht="13.5" customHeight="1">
      <c r="A853" s="115"/>
    </row>
    <row r="854" spans="1:1" ht="13.5" customHeight="1">
      <c r="A854" s="115"/>
    </row>
    <row r="855" spans="1:1" ht="13.5" customHeight="1">
      <c r="A855" s="115"/>
    </row>
    <row r="856" spans="1:1" ht="13.5" customHeight="1">
      <c r="A856" s="115"/>
    </row>
    <row r="857" spans="1:1" ht="13.5" customHeight="1">
      <c r="A857" s="115"/>
    </row>
    <row r="858" spans="1:1" ht="13.5" customHeight="1">
      <c r="A858" s="115"/>
    </row>
    <row r="859" spans="1:1" ht="13.5" customHeight="1">
      <c r="A859" s="115"/>
    </row>
    <row r="860" spans="1:1" ht="13.5" customHeight="1">
      <c r="A860" s="115"/>
    </row>
    <row r="861" spans="1:1" ht="13.5" customHeight="1">
      <c r="A861" s="115"/>
    </row>
    <row r="862" spans="1:1" ht="13.5" customHeight="1">
      <c r="A862" s="115"/>
    </row>
    <row r="863" spans="1:1" ht="13.5" customHeight="1">
      <c r="A863" s="115"/>
    </row>
    <row r="864" spans="1:1" ht="13.5" customHeight="1">
      <c r="A864" s="115"/>
    </row>
    <row r="865" spans="1:1" ht="13.5" customHeight="1">
      <c r="A865" s="115"/>
    </row>
    <row r="866" spans="1:1" ht="13.5" customHeight="1">
      <c r="A866" s="115"/>
    </row>
    <row r="867" spans="1:1" ht="13.5" customHeight="1">
      <c r="A867" s="115"/>
    </row>
    <row r="868" spans="1:1" ht="13.5" customHeight="1">
      <c r="A868" s="115"/>
    </row>
    <row r="869" spans="1:1" ht="13.5" customHeight="1">
      <c r="A869" s="115"/>
    </row>
    <row r="870" spans="1:1" ht="13.5" customHeight="1">
      <c r="A870" s="115"/>
    </row>
    <row r="871" spans="1:1" ht="13.5" customHeight="1">
      <c r="A871" s="115"/>
    </row>
    <row r="872" spans="1:1" ht="13.5" customHeight="1">
      <c r="A872" s="115"/>
    </row>
    <row r="873" spans="1:1" ht="13.5" customHeight="1">
      <c r="A873" s="115"/>
    </row>
    <row r="874" spans="1:1" ht="13.5" customHeight="1">
      <c r="A874" s="115"/>
    </row>
    <row r="875" spans="1:1" ht="13.5" customHeight="1">
      <c r="A875" s="115"/>
    </row>
    <row r="876" spans="1:1" ht="13.5" customHeight="1">
      <c r="A876" s="115"/>
    </row>
    <row r="877" spans="1:1" ht="13.5" customHeight="1">
      <c r="A877" s="115"/>
    </row>
    <row r="878" spans="1:1" ht="13.5" customHeight="1">
      <c r="A878" s="115"/>
    </row>
    <row r="879" spans="1:1" ht="13.5" customHeight="1">
      <c r="A879" s="115"/>
    </row>
    <row r="880" spans="1:1" ht="13.5" customHeight="1">
      <c r="A880" s="115"/>
    </row>
    <row r="881" spans="1:1" ht="13.5" customHeight="1">
      <c r="A881" s="115"/>
    </row>
    <row r="882" spans="1:1" ht="13.5" customHeight="1">
      <c r="A882" s="115"/>
    </row>
    <row r="883" spans="1:1" ht="13.5" customHeight="1">
      <c r="A883" s="115"/>
    </row>
    <row r="884" spans="1:1" ht="13.5" customHeight="1">
      <c r="A884" s="115"/>
    </row>
    <row r="885" spans="1:1" ht="13.5" customHeight="1">
      <c r="A885" s="115"/>
    </row>
    <row r="886" spans="1:1" ht="13.5" customHeight="1">
      <c r="A886" s="115"/>
    </row>
    <row r="887" spans="1:1" ht="13.5" customHeight="1">
      <c r="A887" s="115"/>
    </row>
    <row r="888" spans="1:1" ht="13.5" customHeight="1">
      <c r="A888" s="115"/>
    </row>
    <row r="889" spans="1:1" ht="13.5" customHeight="1">
      <c r="A889" s="115"/>
    </row>
    <row r="890" spans="1:1" ht="13.5" customHeight="1">
      <c r="A890" s="115"/>
    </row>
    <row r="891" spans="1:1" ht="13.5" customHeight="1">
      <c r="A891" s="115"/>
    </row>
    <row r="892" spans="1:1" ht="13.5" customHeight="1">
      <c r="A892" s="115"/>
    </row>
    <row r="893" spans="1:1" ht="13.5" customHeight="1">
      <c r="A893" s="115"/>
    </row>
    <row r="894" spans="1:1" ht="13.5" customHeight="1">
      <c r="A894" s="115"/>
    </row>
    <row r="895" spans="1:1" ht="13.5" customHeight="1">
      <c r="A895" s="115"/>
    </row>
    <row r="896" spans="1:1" ht="13.5" customHeight="1">
      <c r="A896" s="115"/>
    </row>
    <row r="897" spans="1:1" ht="13.5" customHeight="1">
      <c r="A897" s="115"/>
    </row>
    <row r="898" spans="1:1" ht="13.5" customHeight="1">
      <c r="A898" s="115"/>
    </row>
    <row r="899" spans="1:1" ht="13.5" customHeight="1">
      <c r="A899" s="115"/>
    </row>
    <row r="900" spans="1:1" ht="13.5" customHeight="1">
      <c r="A900" s="115"/>
    </row>
    <row r="901" spans="1:1" ht="13.5" customHeight="1">
      <c r="A901" s="115"/>
    </row>
    <row r="902" spans="1:1" ht="13.5" customHeight="1">
      <c r="A902" s="115"/>
    </row>
    <row r="903" spans="1:1" ht="13.5" customHeight="1">
      <c r="A903" s="115"/>
    </row>
    <row r="904" spans="1:1" ht="13.5" customHeight="1">
      <c r="A904" s="115"/>
    </row>
    <row r="905" spans="1:1" ht="13.5" customHeight="1">
      <c r="A905" s="115"/>
    </row>
    <row r="906" spans="1:1" ht="13.5" customHeight="1">
      <c r="A906" s="115"/>
    </row>
    <row r="907" spans="1:1" ht="13.5" customHeight="1">
      <c r="A907" s="115"/>
    </row>
    <row r="908" spans="1:1" ht="13.5" customHeight="1">
      <c r="A908" s="115"/>
    </row>
    <row r="909" spans="1:1" ht="13.5" customHeight="1">
      <c r="A909" s="115"/>
    </row>
    <row r="910" spans="1:1" ht="13.5" customHeight="1">
      <c r="A910" s="115"/>
    </row>
    <row r="911" spans="1:1" ht="13.5" customHeight="1">
      <c r="A911" s="115"/>
    </row>
    <row r="912" spans="1:1" ht="13.5" customHeight="1">
      <c r="A912" s="115"/>
    </row>
    <row r="913" spans="1:1" ht="13.5" customHeight="1">
      <c r="A913" s="115"/>
    </row>
    <row r="914" spans="1:1" ht="13.5" customHeight="1">
      <c r="A914" s="115"/>
    </row>
    <row r="915" spans="1:1" ht="13.5" customHeight="1">
      <c r="A915" s="115"/>
    </row>
    <row r="916" spans="1:1" ht="13.5" customHeight="1">
      <c r="A916" s="115"/>
    </row>
    <row r="917" spans="1:1" ht="13.5" customHeight="1">
      <c r="A917" s="115"/>
    </row>
    <row r="918" spans="1:1" ht="13.5" customHeight="1">
      <c r="A918" s="115"/>
    </row>
    <row r="919" spans="1:1" ht="13.5" customHeight="1">
      <c r="A919" s="115"/>
    </row>
    <row r="920" spans="1:1" ht="13.5" customHeight="1">
      <c r="A920" s="115"/>
    </row>
    <row r="921" spans="1:1" ht="13.5" customHeight="1">
      <c r="A921" s="115"/>
    </row>
    <row r="922" spans="1:1" ht="13.5" customHeight="1">
      <c r="A922" s="115"/>
    </row>
    <row r="923" spans="1:1" ht="13.5" customHeight="1">
      <c r="A923" s="115"/>
    </row>
    <row r="924" spans="1:1" ht="13.5" customHeight="1">
      <c r="A924" s="115"/>
    </row>
    <row r="925" spans="1:1" ht="13.5" customHeight="1">
      <c r="A925" s="115"/>
    </row>
    <row r="926" spans="1:1" ht="13.5" customHeight="1">
      <c r="A926" s="115"/>
    </row>
    <row r="927" spans="1:1" ht="13.5" customHeight="1">
      <c r="A927" s="115"/>
    </row>
    <row r="928" spans="1:1" ht="13.5" customHeight="1">
      <c r="A928" s="115"/>
    </row>
    <row r="929" spans="1:1" ht="13.5" customHeight="1">
      <c r="A929" s="115"/>
    </row>
    <row r="930" spans="1:1" ht="13.5" customHeight="1">
      <c r="A930" s="115"/>
    </row>
    <row r="931" spans="1:1" ht="13.5" customHeight="1">
      <c r="A931" s="115"/>
    </row>
    <row r="932" spans="1:1" ht="13.5" customHeight="1">
      <c r="A932" s="115"/>
    </row>
    <row r="933" spans="1:1" ht="13.5" customHeight="1">
      <c r="A933" s="115"/>
    </row>
    <row r="934" spans="1:1" ht="13.5" customHeight="1">
      <c r="A934" s="115"/>
    </row>
    <row r="935" spans="1:1" ht="13.5" customHeight="1">
      <c r="A935" s="115"/>
    </row>
    <row r="936" spans="1:1" ht="13.5" customHeight="1">
      <c r="A936" s="115"/>
    </row>
    <row r="937" spans="1:1" ht="13.5" customHeight="1">
      <c r="A937" s="115"/>
    </row>
    <row r="938" spans="1:1" ht="13.5" customHeight="1">
      <c r="A938" s="115"/>
    </row>
    <row r="939" spans="1:1" ht="13.5" customHeight="1">
      <c r="A939" s="115"/>
    </row>
    <row r="940" spans="1:1" ht="13.5" customHeight="1">
      <c r="A940" s="115"/>
    </row>
    <row r="941" spans="1:1" ht="13.5" customHeight="1">
      <c r="A941" s="115"/>
    </row>
    <row r="942" spans="1:1" ht="13.5" customHeight="1">
      <c r="A942" s="115"/>
    </row>
    <row r="943" spans="1:1" ht="13.5" customHeight="1">
      <c r="A943" s="115"/>
    </row>
    <row r="944" spans="1:1" ht="13.5" customHeight="1">
      <c r="A944" s="115"/>
    </row>
    <row r="945" spans="1:1" ht="13.5" customHeight="1">
      <c r="A945" s="115"/>
    </row>
    <row r="946" spans="1:1" ht="13.5" customHeight="1">
      <c r="A946" s="115"/>
    </row>
    <row r="947" spans="1:1" ht="13.5" customHeight="1">
      <c r="A947" s="115"/>
    </row>
    <row r="948" spans="1:1" ht="13.5" customHeight="1">
      <c r="A948" s="115"/>
    </row>
    <row r="949" spans="1:1" ht="13.5" customHeight="1">
      <c r="A949" s="115"/>
    </row>
    <row r="950" spans="1:1" ht="13.5" customHeight="1">
      <c r="A950" s="115"/>
    </row>
    <row r="951" spans="1:1" ht="13.5" customHeight="1">
      <c r="A951" s="115"/>
    </row>
    <row r="952" spans="1:1" ht="13.5" customHeight="1">
      <c r="A952" s="115"/>
    </row>
    <row r="953" spans="1:1" ht="13.5" customHeight="1">
      <c r="A953" s="115"/>
    </row>
    <row r="954" spans="1:1" ht="13.5" customHeight="1">
      <c r="A954" s="115"/>
    </row>
    <row r="955" spans="1:1" ht="13.5" customHeight="1">
      <c r="A955" s="115"/>
    </row>
    <row r="956" spans="1:1" ht="13.5" customHeight="1">
      <c r="A956" s="115"/>
    </row>
    <row r="957" spans="1:1" ht="13.5" customHeight="1">
      <c r="A957" s="115"/>
    </row>
    <row r="958" spans="1:1" ht="13.5" customHeight="1">
      <c r="A958" s="115"/>
    </row>
    <row r="959" spans="1:1" ht="13.5" customHeight="1">
      <c r="A959" s="115"/>
    </row>
    <row r="960" spans="1:1" ht="13.5" customHeight="1">
      <c r="A960" s="115"/>
    </row>
    <row r="961" spans="1:1" ht="13.5" customHeight="1">
      <c r="A961" s="115"/>
    </row>
    <row r="962" spans="1:1" ht="13.5" customHeight="1">
      <c r="A962" s="115"/>
    </row>
    <row r="963" spans="1:1" ht="13.5" customHeight="1">
      <c r="A963" s="115"/>
    </row>
    <row r="964" spans="1:1" ht="13.5" customHeight="1">
      <c r="A964" s="115"/>
    </row>
    <row r="965" spans="1:1" ht="13.5" customHeight="1">
      <c r="A965" s="115"/>
    </row>
    <row r="966" spans="1:1" ht="13.5" customHeight="1">
      <c r="A966" s="115"/>
    </row>
    <row r="967" spans="1:1" ht="13.5" customHeight="1">
      <c r="A967" s="115"/>
    </row>
    <row r="968" spans="1:1" ht="13.5" customHeight="1">
      <c r="A968" s="115"/>
    </row>
    <row r="969" spans="1:1" ht="13.5" customHeight="1">
      <c r="A969" s="115"/>
    </row>
    <row r="970" spans="1:1" ht="13.5" customHeight="1">
      <c r="A970" s="115"/>
    </row>
    <row r="971" spans="1:1" ht="13.5" customHeight="1">
      <c r="A971" s="115"/>
    </row>
    <row r="972" spans="1:1" ht="13.5" customHeight="1">
      <c r="A972" s="115"/>
    </row>
    <row r="973" spans="1:1" ht="13.5" customHeight="1">
      <c r="A973" s="115"/>
    </row>
    <row r="974" spans="1:1" ht="13.5" customHeight="1">
      <c r="A974" s="115"/>
    </row>
    <row r="975" spans="1:1" ht="13.5" customHeight="1">
      <c r="A975" s="115"/>
    </row>
    <row r="976" spans="1:1" ht="13.5" customHeight="1">
      <c r="A976" s="115"/>
    </row>
    <row r="977" spans="1:1" ht="13.5" customHeight="1">
      <c r="A977" s="115"/>
    </row>
    <row r="978" spans="1:1" ht="13.5" customHeight="1">
      <c r="A978" s="115"/>
    </row>
    <row r="979" spans="1:1" ht="13.5" customHeight="1">
      <c r="A979" s="115"/>
    </row>
    <row r="980" spans="1:1" ht="13.5" customHeight="1">
      <c r="A980" s="115"/>
    </row>
    <row r="981" spans="1:1" ht="13.5" customHeight="1">
      <c r="A981" s="115"/>
    </row>
    <row r="982" spans="1:1" ht="13.5" customHeight="1">
      <c r="A982" s="115"/>
    </row>
    <row r="983" spans="1:1" ht="13.5" customHeight="1">
      <c r="A983" s="115"/>
    </row>
    <row r="984" spans="1:1" ht="13.5" customHeight="1">
      <c r="A984" s="115"/>
    </row>
    <row r="985" spans="1:1" ht="13.5" customHeight="1">
      <c r="A985" s="115"/>
    </row>
    <row r="986" spans="1:1" ht="13.5" customHeight="1">
      <c r="A986" s="115"/>
    </row>
    <row r="987" spans="1:1" ht="13.5" customHeight="1">
      <c r="A987" s="115"/>
    </row>
    <row r="988" spans="1:1" ht="13.5" customHeight="1">
      <c r="A988" s="115"/>
    </row>
    <row r="989" spans="1:1" ht="13.5" customHeight="1">
      <c r="A989" s="115"/>
    </row>
    <row r="990" spans="1:1" ht="13.5" customHeight="1">
      <c r="A990" s="115"/>
    </row>
    <row r="991" spans="1:1" ht="13.5" customHeight="1">
      <c r="A991" s="115"/>
    </row>
    <row r="992" spans="1:1" ht="13.5" customHeight="1">
      <c r="A992" s="115"/>
    </row>
    <row r="993" spans="1:1" ht="13.5" customHeight="1">
      <c r="A993" s="115"/>
    </row>
    <row r="994" spans="1:1" ht="13.5" customHeight="1">
      <c r="A994" s="115"/>
    </row>
    <row r="995" spans="1:1" ht="13.5" customHeight="1">
      <c r="A995" s="115"/>
    </row>
    <row r="996" spans="1:1" ht="13.5" customHeight="1">
      <c r="A996" s="115"/>
    </row>
    <row r="997" spans="1:1" ht="13.5" customHeight="1">
      <c r="A997" s="115"/>
    </row>
    <row r="998" spans="1:1" ht="13.5" customHeight="1">
      <c r="A998" s="115"/>
    </row>
    <row r="999" spans="1:1" ht="13.5" customHeight="1">
      <c r="A999" s="115"/>
    </row>
    <row r="1000" spans="1:1" ht="13.5" customHeight="1">
      <c r="A1000" s="115"/>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4296875" defaultRowHeight="15" customHeight="1"/>
  <cols>
    <col min="1" max="26" width="8.81640625" customWidth="1"/>
  </cols>
  <sheetData>
    <row r="1" spans="1:11" ht="12.75" customHeight="1">
      <c r="A1" s="289" t="s">
        <v>224</v>
      </c>
      <c r="B1" s="152"/>
      <c r="C1" s="152"/>
      <c r="D1" s="152"/>
      <c r="E1" s="152"/>
      <c r="F1" s="152"/>
      <c r="G1" s="152"/>
      <c r="H1" s="152"/>
      <c r="I1" s="152"/>
      <c r="J1" s="153"/>
    </row>
    <row r="2" spans="1:11" ht="12.75" customHeight="1">
      <c r="A2" s="196" t="s">
        <v>225</v>
      </c>
      <c r="B2" s="197"/>
      <c r="C2" s="197"/>
      <c r="D2" s="197"/>
      <c r="E2" s="197"/>
      <c r="F2" s="197"/>
      <c r="G2" s="197"/>
      <c r="H2" s="197"/>
      <c r="I2" s="197"/>
      <c r="J2" s="198"/>
    </row>
    <row r="3" spans="1:11" ht="12.75" customHeight="1">
      <c r="A3" s="158"/>
      <c r="B3" s="156"/>
      <c r="C3" s="156"/>
      <c r="D3" s="156"/>
      <c r="E3" s="156"/>
      <c r="F3" s="156"/>
      <c r="G3" s="156"/>
      <c r="H3" s="156"/>
      <c r="I3" s="156"/>
      <c r="J3" s="157"/>
    </row>
    <row r="4" spans="1:11" ht="12.75" customHeight="1">
      <c r="A4" s="199"/>
      <c r="B4" s="167"/>
      <c r="C4" s="167"/>
      <c r="D4" s="167"/>
      <c r="E4" s="167"/>
      <c r="F4" s="167"/>
      <c r="G4" s="167"/>
      <c r="H4" s="167"/>
      <c r="I4" s="167"/>
      <c r="J4" s="168"/>
    </row>
    <row r="5" spans="1:11" ht="12.75" customHeight="1">
      <c r="A5" s="1"/>
      <c r="B5" s="2"/>
      <c r="C5" s="2"/>
      <c r="D5" s="2"/>
      <c r="E5" s="2"/>
      <c r="F5" s="2"/>
      <c r="G5" s="2"/>
      <c r="H5" s="2"/>
      <c r="I5" s="2"/>
      <c r="J5" s="3"/>
    </row>
    <row r="6" spans="1:11" ht="12.75" customHeight="1">
      <c r="A6" s="39"/>
      <c r="H6" s="290" t="s">
        <v>226</v>
      </c>
      <c r="I6" s="156"/>
      <c r="J6" s="157"/>
      <c r="K6" s="58"/>
    </row>
    <row r="7" spans="1:11" ht="12.75" customHeight="1">
      <c r="A7" s="291" t="s">
        <v>227</v>
      </c>
      <c r="B7" s="167"/>
      <c r="C7" s="167"/>
      <c r="D7" s="167"/>
      <c r="E7" s="167"/>
      <c r="F7" s="167"/>
      <c r="G7" s="167"/>
      <c r="H7" s="167"/>
      <c r="I7" s="167"/>
      <c r="J7" s="168"/>
    </row>
    <row r="8" spans="1:11" ht="12.75" customHeight="1">
      <c r="A8" s="292" t="s">
        <v>228</v>
      </c>
      <c r="B8" s="152"/>
      <c r="C8" s="152"/>
      <c r="D8" s="152"/>
      <c r="E8" s="152"/>
      <c r="F8" s="152"/>
      <c r="G8" s="153"/>
      <c r="H8" s="117"/>
      <c r="I8" s="118"/>
      <c r="J8" s="117"/>
    </row>
    <row r="9" spans="1:11" ht="12.75" customHeight="1">
      <c r="A9" s="221" t="s">
        <v>229</v>
      </c>
      <c r="B9" s="152"/>
      <c r="C9" s="152"/>
      <c r="D9" s="152"/>
      <c r="E9" s="152"/>
      <c r="F9" s="152"/>
      <c r="G9" s="153"/>
      <c r="H9" s="117"/>
      <c r="I9" s="119"/>
      <c r="J9" s="117"/>
    </row>
    <row r="10" spans="1:11" ht="12.75" customHeight="1">
      <c r="A10" s="292" t="s">
        <v>230</v>
      </c>
      <c r="B10" s="152"/>
      <c r="C10" s="152"/>
      <c r="D10" s="152"/>
      <c r="E10" s="152"/>
      <c r="F10" s="152"/>
      <c r="G10" s="153"/>
      <c r="H10" s="117"/>
      <c r="I10" s="118"/>
      <c r="J10" s="117"/>
    </row>
    <row r="11" spans="1:11" ht="12.75" customHeight="1">
      <c r="A11" s="221" t="s">
        <v>231</v>
      </c>
      <c r="B11" s="152"/>
      <c r="C11" s="152"/>
      <c r="D11" s="152"/>
      <c r="E11" s="152"/>
      <c r="F11" s="152"/>
      <c r="G11" s="153"/>
      <c r="H11" s="117"/>
      <c r="I11" s="119"/>
      <c r="J11" s="117"/>
    </row>
    <row r="12" spans="1:11" ht="12.75" customHeight="1">
      <c r="A12" s="292" t="s">
        <v>232</v>
      </c>
      <c r="B12" s="152"/>
      <c r="C12" s="152"/>
      <c r="D12" s="152"/>
      <c r="E12" s="152"/>
      <c r="F12" s="152"/>
      <c r="G12" s="153"/>
      <c r="H12" s="117"/>
      <c r="I12" s="118"/>
      <c r="J12" s="117"/>
    </row>
    <row r="13" spans="1:11" ht="12.75" customHeight="1">
      <c r="A13" s="221" t="s">
        <v>233</v>
      </c>
      <c r="B13" s="152"/>
      <c r="C13" s="152"/>
      <c r="D13" s="152"/>
      <c r="E13" s="152"/>
      <c r="F13" s="152"/>
      <c r="G13" s="153"/>
      <c r="H13" s="117"/>
      <c r="I13" s="119"/>
      <c r="J13" s="117"/>
    </row>
    <row r="14" spans="1:11" ht="12.75" customHeight="1">
      <c r="A14" s="292" t="s">
        <v>234</v>
      </c>
      <c r="B14" s="152"/>
      <c r="C14" s="152"/>
      <c r="D14" s="152"/>
      <c r="E14" s="152"/>
      <c r="F14" s="152"/>
      <c r="G14" s="153"/>
      <c r="H14" s="117"/>
      <c r="I14" s="118"/>
      <c r="J14" s="117"/>
    </row>
    <row r="15" spans="1:11" ht="12.75" customHeight="1">
      <c r="A15" s="221" t="s">
        <v>235</v>
      </c>
      <c r="B15" s="152"/>
      <c r="C15" s="152"/>
      <c r="D15" s="152"/>
      <c r="E15" s="152"/>
      <c r="F15" s="152"/>
      <c r="G15" s="153"/>
      <c r="H15" s="117"/>
      <c r="I15" s="119"/>
      <c r="J15" s="117"/>
    </row>
    <row r="16" spans="1:11" ht="12.75" customHeight="1">
      <c r="A16" s="292" t="s">
        <v>236</v>
      </c>
      <c r="B16" s="152"/>
      <c r="C16" s="152"/>
      <c r="D16" s="152"/>
      <c r="E16" s="152"/>
      <c r="F16" s="152"/>
      <c r="G16" s="153"/>
      <c r="H16" s="117"/>
      <c r="I16" s="118"/>
      <c r="J16" s="117"/>
    </row>
    <row r="17" spans="1:10" ht="12.75" customHeight="1">
      <c r="A17" s="221" t="s">
        <v>237</v>
      </c>
      <c r="B17" s="152"/>
      <c r="C17" s="152"/>
      <c r="D17" s="152"/>
      <c r="E17" s="152"/>
      <c r="F17" s="152"/>
      <c r="G17" s="153"/>
      <c r="H17" s="117"/>
      <c r="I17" s="119"/>
      <c r="J17" s="117"/>
    </row>
    <row r="18" spans="1:10" ht="12.75" customHeight="1">
      <c r="A18" s="292" t="s">
        <v>238</v>
      </c>
      <c r="B18" s="152"/>
      <c r="C18" s="152"/>
      <c r="D18" s="152"/>
      <c r="E18" s="152"/>
      <c r="F18" s="152"/>
      <c r="G18" s="153"/>
      <c r="H18" s="117"/>
      <c r="I18" s="118"/>
      <c r="J18" s="117"/>
    </row>
    <row r="19" spans="1:10" ht="12.75" customHeight="1">
      <c r="A19" s="221" t="s">
        <v>239</v>
      </c>
      <c r="B19" s="153"/>
      <c r="C19" s="221"/>
      <c r="D19" s="152"/>
      <c r="E19" s="152"/>
      <c r="F19" s="152"/>
      <c r="G19" s="153"/>
      <c r="H19" s="117"/>
      <c r="I19" s="119"/>
      <c r="J19" s="117"/>
    </row>
    <row r="20" spans="1:10" ht="12.75" customHeight="1">
      <c r="A20" s="292" t="s">
        <v>239</v>
      </c>
      <c r="B20" s="153"/>
      <c r="C20" s="292"/>
      <c r="D20" s="152"/>
      <c r="E20" s="152"/>
      <c r="F20" s="152"/>
      <c r="G20" s="153"/>
      <c r="H20" s="117"/>
      <c r="I20" s="118"/>
      <c r="J20" s="117"/>
    </row>
    <row r="21" spans="1:10" ht="12.75" customHeight="1">
      <c r="A21" s="221" t="s">
        <v>239</v>
      </c>
      <c r="B21" s="153"/>
      <c r="C21" s="221"/>
      <c r="D21" s="152"/>
      <c r="E21" s="152"/>
      <c r="F21" s="152"/>
      <c r="G21" s="153"/>
      <c r="H21" s="117"/>
      <c r="I21" s="119"/>
      <c r="J21" s="117"/>
    </row>
    <row r="22" spans="1:10" ht="12.75" customHeight="1">
      <c r="A22" s="292" t="s">
        <v>239</v>
      </c>
      <c r="B22" s="153"/>
      <c r="C22" s="292"/>
      <c r="D22" s="152"/>
      <c r="E22" s="152"/>
      <c r="F22" s="152"/>
      <c r="G22" s="153"/>
      <c r="H22" s="117"/>
      <c r="I22" s="118"/>
      <c r="J22" s="117"/>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293" t="s">
        <v>240</v>
      </c>
      <c r="B56" s="156"/>
      <c r="C56" s="156"/>
      <c r="D56" s="156"/>
      <c r="E56" s="169" t="str">
        <f>County</f>
        <v>Humboldt</v>
      </c>
      <c r="F56" s="156"/>
      <c r="G56" s="156"/>
      <c r="H56" s="156"/>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56:D56"/>
    <mergeCell ref="E56:H56"/>
    <mergeCell ref="A18:G18"/>
    <mergeCell ref="A19:B19"/>
    <mergeCell ref="C19:G19"/>
    <mergeCell ref="A20:B20"/>
    <mergeCell ref="C20:G20"/>
    <mergeCell ref="A21:B21"/>
    <mergeCell ref="C21:G21"/>
    <mergeCell ref="A14:G14"/>
    <mergeCell ref="A15:G15"/>
    <mergeCell ref="A16:G16"/>
    <mergeCell ref="A17:G17"/>
    <mergeCell ref="A22:B22"/>
    <mergeCell ref="C22:G22"/>
    <mergeCell ref="A9:G9"/>
    <mergeCell ref="A10:G10"/>
    <mergeCell ref="A11:G11"/>
    <mergeCell ref="A12:G12"/>
    <mergeCell ref="A13:G13"/>
    <mergeCell ref="A1:J1"/>
    <mergeCell ref="A2:J4"/>
    <mergeCell ref="H6:J7"/>
    <mergeCell ref="A7:G7"/>
    <mergeCell ref="A8:G8"/>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4296875" defaultRowHeight="15" customHeight="1"/>
  <cols>
    <col min="1" max="26" width="8.81640625" customWidth="1"/>
  </cols>
  <sheetData>
    <row r="1" spans="1:10" ht="12.75" customHeight="1">
      <c r="A1" s="289" t="s">
        <v>241</v>
      </c>
      <c r="B1" s="152"/>
      <c r="C1" s="152"/>
      <c r="D1" s="152"/>
      <c r="E1" s="152"/>
      <c r="F1" s="152"/>
      <c r="G1" s="152"/>
      <c r="H1" s="152"/>
      <c r="I1" s="152"/>
      <c r="J1" s="153"/>
    </row>
    <row r="2" spans="1:10" ht="12.75" customHeight="1">
      <c r="A2" s="294" t="s">
        <v>242</v>
      </c>
      <c r="B2" s="197"/>
      <c r="C2" s="197"/>
      <c r="D2" s="197"/>
      <c r="E2" s="197"/>
      <c r="F2" s="197"/>
      <c r="G2" s="197"/>
      <c r="H2" s="197"/>
      <c r="I2" s="197"/>
      <c r="J2" s="198"/>
    </row>
    <row r="3" spans="1:10" ht="12.75" customHeight="1">
      <c r="A3" s="295" t="s">
        <v>243</v>
      </c>
      <c r="B3" s="156"/>
      <c r="C3" s="156"/>
      <c r="D3" s="156"/>
      <c r="E3" s="156"/>
      <c r="F3" s="156"/>
      <c r="G3" s="156"/>
      <c r="H3" s="156"/>
      <c r="I3" s="156"/>
      <c r="J3" s="157"/>
    </row>
    <row r="4" spans="1:10" ht="12.75" customHeight="1">
      <c r="A4" s="295" t="s">
        <v>244</v>
      </c>
      <c r="B4" s="156"/>
      <c r="C4" s="156"/>
      <c r="D4" s="156"/>
      <c r="E4" s="156"/>
      <c r="F4" s="156"/>
      <c r="G4" s="156"/>
      <c r="H4" s="156"/>
      <c r="I4" s="156"/>
      <c r="J4" s="157"/>
    </row>
    <row r="5" spans="1:10" ht="12.75" customHeight="1">
      <c r="A5" s="295" t="s">
        <v>245</v>
      </c>
      <c r="B5" s="156"/>
      <c r="C5" s="156"/>
      <c r="D5" s="156"/>
      <c r="E5" s="156"/>
      <c r="F5" s="156"/>
      <c r="G5" s="156"/>
      <c r="H5" s="156"/>
      <c r="I5" s="156"/>
      <c r="J5" s="157"/>
    </row>
    <row r="6" spans="1:10" ht="12.75" customHeight="1">
      <c r="A6" s="296" t="s">
        <v>246</v>
      </c>
      <c r="B6" s="167"/>
      <c r="C6" s="167"/>
      <c r="D6" s="167"/>
      <c r="E6" s="167"/>
      <c r="F6" s="167"/>
      <c r="G6" s="167"/>
      <c r="H6" s="167"/>
      <c r="I6" s="167"/>
      <c r="J6" s="168"/>
    </row>
    <row r="7" spans="1:10" ht="12.75" customHeight="1">
      <c r="A7" s="120" t="s">
        <v>247</v>
      </c>
      <c r="B7" s="121"/>
      <c r="C7" s="121"/>
      <c r="D7" s="121"/>
      <c r="E7" s="121"/>
      <c r="F7" s="121"/>
      <c r="G7" s="121"/>
      <c r="H7" s="122"/>
      <c r="I7" s="121"/>
      <c r="J7" s="123"/>
    </row>
    <row r="8" spans="1:10" ht="12.75" customHeight="1">
      <c r="A8" s="297" t="s">
        <v>248</v>
      </c>
      <c r="B8" s="171"/>
      <c r="C8" s="171"/>
      <c r="D8" s="171"/>
      <c r="E8" s="171"/>
      <c r="F8" s="171"/>
      <c r="G8" s="171"/>
      <c r="H8" s="171"/>
      <c r="I8" s="171"/>
      <c r="J8" s="172"/>
    </row>
    <row r="9" spans="1:10" ht="12.75" customHeight="1">
      <c r="A9" s="298" t="s">
        <v>249</v>
      </c>
      <c r="B9" s="149"/>
      <c r="C9" s="149"/>
      <c r="D9" s="149"/>
      <c r="E9" s="149"/>
      <c r="F9" s="149"/>
      <c r="G9" s="149"/>
      <c r="H9" s="149"/>
      <c r="I9" s="149"/>
      <c r="J9" s="150"/>
    </row>
    <row r="10" spans="1:10" ht="12.75" customHeight="1">
      <c r="A10" s="196"/>
      <c r="B10" s="197"/>
      <c r="C10" s="197"/>
      <c r="D10" s="197"/>
      <c r="E10" s="197"/>
      <c r="F10" s="197"/>
      <c r="G10" s="197"/>
      <c r="H10" s="197"/>
      <c r="I10" s="197"/>
      <c r="J10" s="198"/>
    </row>
    <row r="11" spans="1:10" ht="12.75" customHeight="1">
      <c r="A11" s="158"/>
      <c r="B11" s="156"/>
      <c r="C11" s="156"/>
      <c r="D11" s="156"/>
      <c r="E11" s="156"/>
      <c r="F11" s="156"/>
      <c r="G11" s="156"/>
      <c r="H11" s="156"/>
      <c r="I11" s="156"/>
      <c r="J11" s="157"/>
    </row>
    <row r="12" spans="1:10" ht="12.75" customHeight="1">
      <c r="A12" s="158"/>
      <c r="B12" s="156"/>
      <c r="C12" s="156"/>
      <c r="D12" s="156"/>
      <c r="E12" s="156"/>
      <c r="F12" s="156"/>
      <c r="G12" s="156"/>
      <c r="H12" s="156"/>
      <c r="I12" s="156"/>
      <c r="J12" s="157"/>
    </row>
    <row r="13" spans="1:10" ht="12.75" customHeight="1">
      <c r="A13" s="158"/>
      <c r="B13" s="156"/>
      <c r="C13" s="156"/>
      <c r="D13" s="156"/>
      <c r="E13" s="156"/>
      <c r="F13" s="156"/>
      <c r="G13" s="156"/>
      <c r="H13" s="156"/>
      <c r="I13" s="156"/>
      <c r="J13" s="157"/>
    </row>
    <row r="14" spans="1:10" ht="12.75" customHeight="1">
      <c r="A14" s="158"/>
      <c r="B14" s="156"/>
      <c r="C14" s="156"/>
      <c r="D14" s="156"/>
      <c r="E14" s="156"/>
      <c r="F14" s="156"/>
      <c r="G14" s="156"/>
      <c r="H14" s="156"/>
      <c r="I14" s="156"/>
      <c r="J14" s="157"/>
    </row>
    <row r="15" spans="1:10" ht="12.75" customHeight="1">
      <c r="A15" s="158"/>
      <c r="B15" s="156"/>
      <c r="C15" s="156"/>
      <c r="D15" s="156"/>
      <c r="E15" s="156"/>
      <c r="F15" s="156"/>
      <c r="G15" s="156"/>
      <c r="H15" s="156"/>
      <c r="I15" s="156"/>
      <c r="J15" s="157"/>
    </row>
    <row r="16" spans="1:10" ht="12.75" customHeight="1">
      <c r="A16" s="158"/>
      <c r="B16" s="156"/>
      <c r="C16" s="156"/>
      <c r="D16" s="156"/>
      <c r="E16" s="156"/>
      <c r="F16" s="156"/>
      <c r="G16" s="156"/>
      <c r="H16" s="156"/>
      <c r="I16" s="156"/>
      <c r="J16" s="157"/>
    </row>
    <row r="17" spans="1:10" ht="12.75" customHeight="1">
      <c r="A17" s="158"/>
      <c r="B17" s="156"/>
      <c r="C17" s="156"/>
      <c r="D17" s="156"/>
      <c r="E17" s="156"/>
      <c r="F17" s="156"/>
      <c r="G17" s="156"/>
      <c r="H17" s="156"/>
      <c r="I17" s="156"/>
      <c r="J17" s="157"/>
    </row>
    <row r="18" spans="1:10" ht="12.75" customHeight="1">
      <c r="A18" s="158"/>
      <c r="B18" s="156"/>
      <c r="C18" s="156"/>
      <c r="D18" s="156"/>
      <c r="E18" s="156"/>
      <c r="F18" s="156"/>
      <c r="G18" s="156"/>
      <c r="H18" s="156"/>
      <c r="I18" s="156"/>
      <c r="J18" s="157"/>
    </row>
    <row r="19" spans="1:10" ht="12.75" customHeight="1">
      <c r="A19" s="158"/>
      <c r="B19" s="156"/>
      <c r="C19" s="156"/>
      <c r="D19" s="156"/>
      <c r="E19" s="156"/>
      <c r="F19" s="156"/>
      <c r="G19" s="156"/>
      <c r="H19" s="156"/>
      <c r="I19" s="156"/>
      <c r="J19" s="157"/>
    </row>
    <row r="20" spans="1:10" ht="12.75" customHeight="1">
      <c r="A20" s="158"/>
      <c r="B20" s="156"/>
      <c r="C20" s="156"/>
      <c r="D20" s="156"/>
      <c r="E20" s="156"/>
      <c r="F20" s="156"/>
      <c r="G20" s="156"/>
      <c r="H20" s="156"/>
      <c r="I20" s="156"/>
      <c r="J20" s="157"/>
    </row>
    <row r="21" spans="1:10" ht="12.75" customHeight="1">
      <c r="A21" s="158"/>
      <c r="B21" s="156"/>
      <c r="C21" s="156"/>
      <c r="D21" s="156"/>
      <c r="E21" s="156"/>
      <c r="F21" s="156"/>
      <c r="G21" s="156"/>
      <c r="H21" s="156"/>
      <c r="I21" s="156"/>
      <c r="J21" s="157"/>
    </row>
    <row r="22" spans="1:10" ht="12.75" customHeight="1">
      <c r="A22" s="158"/>
      <c r="B22" s="156"/>
      <c r="C22" s="156"/>
      <c r="D22" s="156"/>
      <c r="E22" s="156"/>
      <c r="F22" s="156"/>
      <c r="G22" s="156"/>
      <c r="H22" s="156"/>
      <c r="I22" s="156"/>
      <c r="J22" s="157"/>
    </row>
    <row r="23" spans="1:10" ht="12.75" customHeight="1">
      <c r="A23" s="158"/>
      <c r="B23" s="156"/>
      <c r="C23" s="156"/>
      <c r="D23" s="156"/>
      <c r="E23" s="156"/>
      <c r="F23" s="156"/>
      <c r="G23" s="156"/>
      <c r="H23" s="156"/>
      <c r="I23" s="156"/>
      <c r="J23" s="157"/>
    </row>
    <row r="24" spans="1:10" ht="12.75" customHeight="1">
      <c r="A24" s="158"/>
      <c r="B24" s="156"/>
      <c r="C24" s="156"/>
      <c r="D24" s="156"/>
      <c r="E24" s="156"/>
      <c r="F24" s="156"/>
      <c r="G24" s="156"/>
      <c r="H24" s="156"/>
      <c r="I24" s="156"/>
      <c r="J24" s="157"/>
    </row>
    <row r="25" spans="1:10" ht="12.75" customHeight="1">
      <c r="A25" s="199"/>
      <c r="B25" s="167"/>
      <c r="C25" s="167"/>
      <c r="D25" s="167"/>
      <c r="E25" s="167"/>
      <c r="F25" s="167"/>
      <c r="G25" s="167"/>
      <c r="H25" s="167"/>
      <c r="I25" s="167"/>
      <c r="J25" s="168"/>
    </row>
    <row r="26" spans="1:10" ht="12.75" customHeight="1">
      <c r="A26" s="124" t="s">
        <v>250</v>
      </c>
      <c r="B26" s="125"/>
      <c r="C26" s="125"/>
      <c r="D26" s="125"/>
      <c r="E26" s="125"/>
      <c r="F26" s="125"/>
      <c r="G26" s="125"/>
      <c r="H26" s="125"/>
      <c r="I26" s="125"/>
      <c r="J26" s="126"/>
    </row>
    <row r="27" spans="1:10" ht="12.75" customHeight="1">
      <c r="A27" s="196"/>
      <c r="B27" s="197"/>
      <c r="C27" s="197"/>
      <c r="D27" s="197"/>
      <c r="E27" s="197"/>
      <c r="F27" s="197"/>
      <c r="G27" s="197"/>
      <c r="H27" s="197"/>
      <c r="I27" s="197"/>
      <c r="J27" s="198"/>
    </row>
    <row r="28" spans="1:10" ht="12.75" customHeight="1">
      <c r="A28" s="158"/>
      <c r="B28" s="156"/>
      <c r="C28" s="156"/>
      <c r="D28" s="156"/>
      <c r="E28" s="156"/>
      <c r="F28" s="156"/>
      <c r="G28" s="156"/>
      <c r="H28" s="156"/>
      <c r="I28" s="156"/>
      <c r="J28" s="157"/>
    </row>
    <row r="29" spans="1:10" ht="12.75" customHeight="1">
      <c r="A29" s="158"/>
      <c r="B29" s="156"/>
      <c r="C29" s="156"/>
      <c r="D29" s="156"/>
      <c r="E29" s="156"/>
      <c r="F29" s="156"/>
      <c r="G29" s="156"/>
      <c r="H29" s="156"/>
      <c r="I29" s="156"/>
      <c r="J29" s="157"/>
    </row>
    <row r="30" spans="1:10" ht="12.75" customHeight="1">
      <c r="A30" s="158"/>
      <c r="B30" s="156"/>
      <c r="C30" s="156"/>
      <c r="D30" s="156"/>
      <c r="E30" s="156"/>
      <c r="F30" s="156"/>
      <c r="G30" s="156"/>
      <c r="H30" s="156"/>
      <c r="I30" s="156"/>
      <c r="J30" s="157"/>
    </row>
    <row r="31" spans="1:10" ht="12.75" customHeight="1">
      <c r="A31" s="158"/>
      <c r="B31" s="156"/>
      <c r="C31" s="156"/>
      <c r="D31" s="156"/>
      <c r="E31" s="156"/>
      <c r="F31" s="156"/>
      <c r="G31" s="156"/>
      <c r="H31" s="156"/>
      <c r="I31" s="156"/>
      <c r="J31" s="157"/>
    </row>
    <row r="32" spans="1:10" ht="12.75" customHeight="1">
      <c r="A32" s="158"/>
      <c r="B32" s="156"/>
      <c r="C32" s="156"/>
      <c r="D32" s="156"/>
      <c r="E32" s="156"/>
      <c r="F32" s="156"/>
      <c r="G32" s="156"/>
      <c r="H32" s="156"/>
      <c r="I32" s="156"/>
      <c r="J32" s="157"/>
    </row>
    <row r="33" spans="1:10" ht="12.75" customHeight="1">
      <c r="A33" s="158"/>
      <c r="B33" s="156"/>
      <c r="C33" s="156"/>
      <c r="D33" s="156"/>
      <c r="E33" s="156"/>
      <c r="F33" s="156"/>
      <c r="G33" s="156"/>
      <c r="H33" s="156"/>
      <c r="I33" s="156"/>
      <c r="J33" s="157"/>
    </row>
    <row r="34" spans="1:10" ht="12.75" customHeight="1">
      <c r="A34" s="158"/>
      <c r="B34" s="156"/>
      <c r="C34" s="156"/>
      <c r="D34" s="156"/>
      <c r="E34" s="156"/>
      <c r="F34" s="156"/>
      <c r="G34" s="156"/>
      <c r="H34" s="156"/>
      <c r="I34" s="156"/>
      <c r="J34" s="157"/>
    </row>
    <row r="35" spans="1:10" ht="12.75" customHeight="1">
      <c r="A35" s="158"/>
      <c r="B35" s="156"/>
      <c r="C35" s="156"/>
      <c r="D35" s="156"/>
      <c r="E35" s="156"/>
      <c r="F35" s="156"/>
      <c r="G35" s="156"/>
      <c r="H35" s="156"/>
      <c r="I35" s="156"/>
      <c r="J35" s="157"/>
    </row>
    <row r="36" spans="1:10" ht="12.75" customHeight="1">
      <c r="A36" s="158"/>
      <c r="B36" s="156"/>
      <c r="C36" s="156"/>
      <c r="D36" s="156"/>
      <c r="E36" s="156"/>
      <c r="F36" s="156"/>
      <c r="G36" s="156"/>
      <c r="H36" s="156"/>
      <c r="I36" s="156"/>
      <c r="J36" s="157"/>
    </row>
    <row r="37" spans="1:10" ht="12.75" customHeight="1">
      <c r="A37" s="158"/>
      <c r="B37" s="156"/>
      <c r="C37" s="156"/>
      <c r="D37" s="156"/>
      <c r="E37" s="156"/>
      <c r="F37" s="156"/>
      <c r="G37" s="156"/>
      <c r="H37" s="156"/>
      <c r="I37" s="156"/>
      <c r="J37" s="157"/>
    </row>
    <row r="38" spans="1:10" ht="12.75" customHeight="1">
      <c r="A38" s="199"/>
      <c r="B38" s="167"/>
      <c r="C38" s="167"/>
      <c r="D38" s="167"/>
      <c r="E38" s="167"/>
      <c r="F38" s="167"/>
      <c r="G38" s="167"/>
      <c r="H38" s="167"/>
      <c r="I38" s="167"/>
      <c r="J38" s="168"/>
    </row>
    <row r="39" spans="1:10" ht="12.75" customHeight="1">
      <c r="A39" s="299" t="s">
        <v>251</v>
      </c>
      <c r="B39" s="163"/>
      <c r="C39" s="163"/>
      <c r="D39" s="163"/>
      <c r="E39" s="163"/>
      <c r="F39" s="163"/>
      <c r="G39" s="163"/>
      <c r="H39" s="163"/>
      <c r="I39" s="163"/>
      <c r="J39" s="164"/>
    </row>
    <row r="40" spans="1:10" ht="12.75" customHeight="1">
      <c r="A40" s="298" t="s">
        <v>252</v>
      </c>
      <c r="B40" s="149"/>
      <c r="C40" s="149"/>
      <c r="D40" s="149"/>
      <c r="E40" s="149"/>
      <c r="F40" s="149"/>
      <c r="G40" s="149"/>
      <c r="H40" s="149"/>
      <c r="I40" s="149"/>
      <c r="J40" s="150"/>
    </row>
    <row r="41" spans="1:10" ht="12.75" customHeight="1">
      <c r="A41" s="196"/>
      <c r="B41" s="197"/>
      <c r="C41" s="197"/>
      <c r="D41" s="197"/>
      <c r="E41" s="197"/>
      <c r="F41" s="197"/>
      <c r="G41" s="197"/>
      <c r="H41" s="197"/>
      <c r="I41" s="197"/>
      <c r="J41" s="198"/>
    </row>
    <row r="42" spans="1:10" ht="12.75" customHeight="1">
      <c r="A42" s="158"/>
      <c r="B42" s="156"/>
      <c r="C42" s="156"/>
      <c r="D42" s="156"/>
      <c r="E42" s="156"/>
      <c r="F42" s="156"/>
      <c r="G42" s="156"/>
      <c r="H42" s="156"/>
      <c r="I42" s="156"/>
      <c r="J42" s="157"/>
    </row>
    <row r="43" spans="1:10" ht="12.75" customHeight="1">
      <c r="A43" s="158"/>
      <c r="B43" s="156"/>
      <c r="C43" s="156"/>
      <c r="D43" s="156"/>
      <c r="E43" s="156"/>
      <c r="F43" s="156"/>
      <c r="G43" s="156"/>
      <c r="H43" s="156"/>
      <c r="I43" s="156"/>
      <c r="J43" s="157"/>
    </row>
    <row r="44" spans="1:10" ht="12.75" customHeight="1">
      <c r="A44" s="158"/>
      <c r="B44" s="156"/>
      <c r="C44" s="156"/>
      <c r="D44" s="156"/>
      <c r="E44" s="156"/>
      <c r="F44" s="156"/>
      <c r="G44" s="156"/>
      <c r="H44" s="156"/>
      <c r="I44" s="156"/>
      <c r="J44" s="157"/>
    </row>
    <row r="45" spans="1:10" ht="12.75" customHeight="1">
      <c r="A45" s="158"/>
      <c r="B45" s="156"/>
      <c r="C45" s="156"/>
      <c r="D45" s="156"/>
      <c r="E45" s="156"/>
      <c r="F45" s="156"/>
      <c r="G45" s="156"/>
      <c r="H45" s="156"/>
      <c r="I45" s="156"/>
      <c r="J45" s="157"/>
    </row>
    <row r="46" spans="1:10" ht="12.75" customHeight="1">
      <c r="A46" s="158"/>
      <c r="B46" s="156"/>
      <c r="C46" s="156"/>
      <c r="D46" s="156"/>
      <c r="E46" s="156"/>
      <c r="F46" s="156"/>
      <c r="G46" s="156"/>
      <c r="H46" s="156"/>
      <c r="I46" s="156"/>
      <c r="J46" s="157"/>
    </row>
    <row r="47" spans="1:10" ht="12.75" customHeight="1">
      <c r="A47" s="158"/>
      <c r="B47" s="156"/>
      <c r="C47" s="156"/>
      <c r="D47" s="156"/>
      <c r="E47" s="156"/>
      <c r="F47" s="156"/>
      <c r="G47" s="156"/>
      <c r="H47" s="156"/>
      <c r="I47" s="156"/>
      <c r="J47" s="157"/>
    </row>
    <row r="48" spans="1:10" ht="12.75" customHeight="1">
      <c r="A48" s="158"/>
      <c r="B48" s="156"/>
      <c r="C48" s="156"/>
      <c r="D48" s="156"/>
      <c r="E48" s="156"/>
      <c r="F48" s="156"/>
      <c r="G48" s="156"/>
      <c r="H48" s="156"/>
      <c r="I48" s="156"/>
      <c r="J48" s="157"/>
    </row>
    <row r="49" spans="1:10" ht="12.75" customHeight="1">
      <c r="A49" s="158"/>
      <c r="B49" s="156"/>
      <c r="C49" s="156"/>
      <c r="D49" s="156"/>
      <c r="E49" s="156"/>
      <c r="F49" s="156"/>
      <c r="G49" s="156"/>
      <c r="H49" s="156"/>
      <c r="I49" s="156"/>
      <c r="J49" s="157"/>
    </row>
    <row r="50" spans="1:10" ht="12.75" customHeight="1">
      <c r="A50" s="158"/>
      <c r="B50" s="156"/>
      <c r="C50" s="156"/>
      <c r="D50" s="156"/>
      <c r="E50" s="156"/>
      <c r="F50" s="156"/>
      <c r="G50" s="156"/>
      <c r="H50" s="156"/>
      <c r="I50" s="156"/>
      <c r="J50" s="157"/>
    </row>
    <row r="51" spans="1:10" ht="12.75" customHeight="1">
      <c r="A51" s="158"/>
      <c r="B51" s="156"/>
      <c r="C51" s="156"/>
      <c r="D51" s="156"/>
      <c r="E51" s="156"/>
      <c r="F51" s="156"/>
      <c r="G51" s="156"/>
      <c r="H51" s="156"/>
      <c r="I51" s="156"/>
      <c r="J51" s="157"/>
    </row>
    <row r="52" spans="1:10" ht="12.75" customHeight="1">
      <c r="A52" s="199"/>
      <c r="B52" s="167"/>
      <c r="C52" s="167"/>
      <c r="D52" s="167"/>
      <c r="E52" s="167"/>
      <c r="F52" s="167"/>
      <c r="G52" s="167"/>
      <c r="H52" s="167"/>
      <c r="I52" s="167"/>
      <c r="J52" s="168"/>
    </row>
    <row r="53" spans="1:10" ht="12.75" customHeight="1">
      <c r="A53" s="293" t="s">
        <v>240</v>
      </c>
      <c r="B53" s="156"/>
      <c r="C53" s="156"/>
      <c r="D53" s="156"/>
      <c r="E53" s="169" t="str">
        <f>County</f>
        <v>Humboldt</v>
      </c>
      <c r="F53" s="156"/>
      <c r="G53" s="156"/>
      <c r="H53" s="156"/>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4296875" defaultRowHeight="15" customHeight="1"/>
  <cols>
    <col min="1" max="26" width="8.81640625" customWidth="1"/>
  </cols>
  <sheetData>
    <row r="1" spans="1:10" ht="12.75" customHeight="1">
      <c r="A1" s="289" t="s">
        <v>253</v>
      </c>
      <c r="B1" s="152"/>
      <c r="C1" s="152"/>
      <c r="D1" s="152"/>
      <c r="E1" s="152"/>
      <c r="F1" s="152"/>
      <c r="G1" s="152"/>
      <c r="H1" s="152"/>
      <c r="I1" s="152"/>
      <c r="J1" s="153"/>
    </row>
    <row r="2" spans="1:10" ht="12.75" customHeight="1">
      <c r="A2" s="294" t="s">
        <v>254</v>
      </c>
      <c r="B2" s="197"/>
      <c r="C2" s="197"/>
      <c r="D2" s="197"/>
      <c r="E2" s="197"/>
      <c r="F2" s="197"/>
      <c r="G2" s="197"/>
      <c r="H2" s="197"/>
      <c r="I2" s="197"/>
      <c r="J2" s="198"/>
    </row>
    <row r="3" spans="1:10" ht="12.75" customHeight="1">
      <c r="A3" s="295" t="s">
        <v>255</v>
      </c>
      <c r="B3" s="156"/>
      <c r="C3" s="156"/>
      <c r="D3" s="156"/>
      <c r="E3" s="156"/>
      <c r="F3" s="156"/>
      <c r="G3" s="156"/>
      <c r="H3" s="156"/>
      <c r="I3" s="156"/>
      <c r="J3" s="157"/>
    </row>
    <row r="4" spans="1:10" ht="12.75" customHeight="1">
      <c r="A4" s="295" t="s">
        <v>256</v>
      </c>
      <c r="B4" s="156"/>
      <c r="C4" s="156"/>
      <c r="D4" s="156"/>
      <c r="E4" s="156"/>
      <c r="F4" s="156"/>
      <c r="G4" s="156"/>
      <c r="H4" s="156"/>
      <c r="I4" s="156"/>
      <c r="J4" s="157"/>
    </row>
    <row r="5" spans="1:10" ht="12.75" customHeight="1">
      <c r="A5" s="295" t="s">
        <v>257</v>
      </c>
      <c r="B5" s="156"/>
      <c r="C5" s="156"/>
      <c r="D5" s="156"/>
      <c r="E5" s="156"/>
      <c r="F5" s="156"/>
      <c r="G5" s="156"/>
      <c r="H5" s="156"/>
      <c r="I5" s="156"/>
      <c r="J5" s="157"/>
    </row>
    <row r="6" spans="1:10" ht="12.75" customHeight="1">
      <c r="A6" s="120" t="s">
        <v>258</v>
      </c>
      <c r="B6" s="127"/>
      <c r="C6" s="127"/>
      <c r="D6" s="127"/>
      <c r="E6" s="127"/>
      <c r="F6" s="127"/>
      <c r="G6" s="127"/>
      <c r="H6" s="127"/>
      <c r="I6" s="128"/>
      <c r="J6" s="123"/>
    </row>
    <row r="7" spans="1:10" ht="12.75" customHeight="1">
      <c r="A7" s="129" t="s">
        <v>259</v>
      </c>
      <c r="B7" s="130"/>
      <c r="C7" s="130"/>
      <c r="D7" s="130"/>
      <c r="E7" s="130"/>
      <c r="F7" s="130"/>
      <c r="G7" s="130"/>
      <c r="H7" s="130"/>
      <c r="I7" s="131"/>
      <c r="J7" s="132"/>
    </row>
    <row r="8" spans="1:10" ht="12.75" customHeight="1">
      <c r="A8" s="298" t="s">
        <v>260</v>
      </c>
      <c r="B8" s="149"/>
      <c r="C8" s="149"/>
      <c r="D8" s="149"/>
      <c r="E8" s="149"/>
      <c r="F8" s="149"/>
      <c r="G8" s="149"/>
      <c r="H8" s="149"/>
      <c r="I8" s="149"/>
      <c r="J8" s="150"/>
    </row>
    <row r="9" spans="1:10" ht="12.75" customHeight="1">
      <c r="A9" s="196"/>
      <c r="B9" s="197"/>
      <c r="C9" s="197"/>
      <c r="D9" s="197"/>
      <c r="E9" s="197"/>
      <c r="F9" s="197"/>
      <c r="G9" s="197"/>
      <c r="H9" s="197"/>
      <c r="I9" s="197"/>
      <c r="J9" s="198"/>
    </row>
    <row r="10" spans="1:10" ht="12.75" customHeight="1">
      <c r="A10" s="158"/>
      <c r="B10" s="156"/>
      <c r="C10" s="156"/>
      <c r="D10" s="156"/>
      <c r="E10" s="156"/>
      <c r="F10" s="156"/>
      <c r="G10" s="156"/>
      <c r="H10" s="156"/>
      <c r="I10" s="156"/>
      <c r="J10" s="157"/>
    </row>
    <row r="11" spans="1:10" ht="12.75" customHeight="1">
      <c r="A11" s="158"/>
      <c r="B11" s="156"/>
      <c r="C11" s="156"/>
      <c r="D11" s="156"/>
      <c r="E11" s="156"/>
      <c r="F11" s="156"/>
      <c r="G11" s="156"/>
      <c r="H11" s="156"/>
      <c r="I11" s="156"/>
      <c r="J11" s="157"/>
    </row>
    <row r="12" spans="1:10" ht="12.75" customHeight="1">
      <c r="A12" s="158"/>
      <c r="B12" s="156"/>
      <c r="C12" s="156"/>
      <c r="D12" s="156"/>
      <c r="E12" s="156"/>
      <c r="F12" s="156"/>
      <c r="G12" s="156"/>
      <c r="H12" s="156"/>
      <c r="I12" s="156"/>
      <c r="J12" s="157"/>
    </row>
    <row r="13" spans="1:10" ht="12.75" customHeight="1">
      <c r="A13" s="158"/>
      <c r="B13" s="156"/>
      <c r="C13" s="156"/>
      <c r="D13" s="156"/>
      <c r="E13" s="156"/>
      <c r="F13" s="156"/>
      <c r="G13" s="156"/>
      <c r="H13" s="156"/>
      <c r="I13" s="156"/>
      <c r="J13" s="157"/>
    </row>
    <row r="14" spans="1:10" ht="12.75" customHeight="1">
      <c r="A14" s="158"/>
      <c r="B14" s="156"/>
      <c r="C14" s="156"/>
      <c r="D14" s="156"/>
      <c r="E14" s="156"/>
      <c r="F14" s="156"/>
      <c r="G14" s="156"/>
      <c r="H14" s="156"/>
      <c r="I14" s="156"/>
      <c r="J14" s="157"/>
    </row>
    <row r="15" spans="1:10" ht="12.75" customHeight="1">
      <c r="A15" s="158"/>
      <c r="B15" s="156"/>
      <c r="C15" s="156"/>
      <c r="D15" s="156"/>
      <c r="E15" s="156"/>
      <c r="F15" s="156"/>
      <c r="G15" s="156"/>
      <c r="H15" s="156"/>
      <c r="I15" s="156"/>
      <c r="J15" s="157"/>
    </row>
    <row r="16" spans="1:10" ht="12.75" customHeight="1">
      <c r="A16" s="158"/>
      <c r="B16" s="156"/>
      <c r="C16" s="156"/>
      <c r="D16" s="156"/>
      <c r="E16" s="156"/>
      <c r="F16" s="156"/>
      <c r="G16" s="156"/>
      <c r="H16" s="156"/>
      <c r="I16" s="156"/>
      <c r="J16" s="157"/>
    </row>
    <row r="17" spans="1:10" ht="12.75" customHeight="1">
      <c r="A17" s="158"/>
      <c r="B17" s="156"/>
      <c r="C17" s="156"/>
      <c r="D17" s="156"/>
      <c r="E17" s="156"/>
      <c r="F17" s="156"/>
      <c r="G17" s="156"/>
      <c r="H17" s="156"/>
      <c r="I17" s="156"/>
      <c r="J17" s="157"/>
    </row>
    <row r="18" spans="1:10" ht="12.75" customHeight="1">
      <c r="A18" s="158"/>
      <c r="B18" s="156"/>
      <c r="C18" s="156"/>
      <c r="D18" s="156"/>
      <c r="E18" s="156"/>
      <c r="F18" s="156"/>
      <c r="G18" s="156"/>
      <c r="H18" s="156"/>
      <c r="I18" s="156"/>
      <c r="J18" s="157"/>
    </row>
    <row r="19" spans="1:10" ht="12.75" customHeight="1">
      <c r="A19" s="158"/>
      <c r="B19" s="156"/>
      <c r="C19" s="156"/>
      <c r="D19" s="156"/>
      <c r="E19" s="156"/>
      <c r="F19" s="156"/>
      <c r="G19" s="156"/>
      <c r="H19" s="156"/>
      <c r="I19" s="156"/>
      <c r="J19" s="157"/>
    </row>
    <row r="20" spans="1:10" ht="12.75" customHeight="1">
      <c r="A20" s="158"/>
      <c r="B20" s="156"/>
      <c r="C20" s="156"/>
      <c r="D20" s="156"/>
      <c r="E20" s="156"/>
      <c r="F20" s="156"/>
      <c r="G20" s="156"/>
      <c r="H20" s="156"/>
      <c r="I20" s="156"/>
      <c r="J20" s="157"/>
    </row>
    <row r="21" spans="1:10" ht="12.75" customHeight="1">
      <c r="A21" s="158"/>
      <c r="B21" s="156"/>
      <c r="C21" s="156"/>
      <c r="D21" s="156"/>
      <c r="E21" s="156"/>
      <c r="F21" s="156"/>
      <c r="G21" s="156"/>
      <c r="H21" s="156"/>
      <c r="I21" s="156"/>
      <c r="J21" s="157"/>
    </row>
    <row r="22" spans="1:10" ht="12.75" customHeight="1">
      <c r="A22" s="158"/>
      <c r="B22" s="156"/>
      <c r="C22" s="156"/>
      <c r="D22" s="156"/>
      <c r="E22" s="156"/>
      <c r="F22" s="156"/>
      <c r="G22" s="156"/>
      <c r="H22" s="156"/>
      <c r="I22" s="156"/>
      <c r="J22" s="157"/>
    </row>
    <row r="23" spans="1:10" ht="12.75" customHeight="1">
      <c r="A23" s="158"/>
      <c r="B23" s="156"/>
      <c r="C23" s="156"/>
      <c r="D23" s="156"/>
      <c r="E23" s="156"/>
      <c r="F23" s="156"/>
      <c r="G23" s="156"/>
      <c r="H23" s="156"/>
      <c r="I23" s="156"/>
      <c r="J23" s="157"/>
    </row>
    <row r="24" spans="1:10" ht="12.75" customHeight="1">
      <c r="A24" s="199"/>
      <c r="B24" s="167"/>
      <c r="C24" s="167"/>
      <c r="D24" s="167"/>
      <c r="E24" s="167"/>
      <c r="F24" s="167"/>
      <c r="G24" s="167"/>
      <c r="H24" s="167"/>
      <c r="I24" s="167"/>
      <c r="J24" s="168"/>
    </row>
    <row r="25" spans="1:10" ht="12.75" customHeight="1">
      <c r="A25" s="300" t="s">
        <v>261</v>
      </c>
      <c r="B25" s="163"/>
      <c r="C25" s="163"/>
      <c r="D25" s="163"/>
      <c r="E25" s="163"/>
      <c r="F25" s="163"/>
      <c r="G25" s="163"/>
      <c r="H25" s="163"/>
      <c r="I25" s="163"/>
      <c r="J25" s="164"/>
    </row>
    <row r="26" spans="1:10" ht="12.75" customHeight="1">
      <c r="A26" s="301" t="s">
        <v>262</v>
      </c>
      <c r="B26" s="197"/>
      <c r="C26" s="197"/>
      <c r="D26" s="197"/>
      <c r="E26" s="197"/>
      <c r="F26" s="197"/>
      <c r="G26" s="197"/>
      <c r="H26" s="197"/>
      <c r="I26" s="197"/>
      <c r="J26" s="198"/>
    </row>
    <row r="27" spans="1:10" ht="12.75" customHeight="1">
      <c r="A27" s="158"/>
      <c r="B27" s="156"/>
      <c r="C27" s="156"/>
      <c r="D27" s="156"/>
      <c r="E27" s="156"/>
      <c r="F27" s="156"/>
      <c r="G27" s="156"/>
      <c r="H27" s="156"/>
      <c r="I27" s="156"/>
      <c r="J27" s="157"/>
    </row>
    <row r="28" spans="1:10" ht="12.75" customHeight="1">
      <c r="A28" s="199"/>
      <c r="B28" s="167"/>
      <c r="C28" s="167"/>
      <c r="D28" s="167"/>
      <c r="E28" s="167"/>
      <c r="F28" s="167"/>
      <c r="G28" s="167"/>
      <c r="H28" s="167"/>
      <c r="I28" s="167"/>
      <c r="J28" s="168"/>
    </row>
    <row r="29" spans="1:10" ht="12.75" customHeight="1">
      <c r="A29" s="196"/>
      <c r="B29" s="197"/>
      <c r="C29" s="197"/>
      <c r="D29" s="197"/>
      <c r="E29" s="197"/>
      <c r="F29" s="197"/>
      <c r="G29" s="197"/>
      <c r="H29" s="197"/>
      <c r="I29" s="197"/>
      <c r="J29" s="198"/>
    </row>
    <row r="30" spans="1:10" ht="12.75" customHeight="1">
      <c r="A30" s="158"/>
      <c r="B30" s="156"/>
      <c r="C30" s="156"/>
      <c r="D30" s="156"/>
      <c r="E30" s="156"/>
      <c r="F30" s="156"/>
      <c r="G30" s="156"/>
      <c r="H30" s="156"/>
      <c r="I30" s="156"/>
      <c r="J30" s="157"/>
    </row>
    <row r="31" spans="1:10" ht="12.75" customHeight="1">
      <c r="A31" s="158"/>
      <c r="B31" s="156"/>
      <c r="C31" s="156"/>
      <c r="D31" s="156"/>
      <c r="E31" s="156"/>
      <c r="F31" s="156"/>
      <c r="G31" s="156"/>
      <c r="H31" s="156"/>
      <c r="I31" s="156"/>
      <c r="J31" s="157"/>
    </row>
    <row r="32" spans="1:10" ht="12.75" customHeight="1">
      <c r="A32" s="158"/>
      <c r="B32" s="156"/>
      <c r="C32" s="156"/>
      <c r="D32" s="156"/>
      <c r="E32" s="156"/>
      <c r="F32" s="156"/>
      <c r="G32" s="156"/>
      <c r="H32" s="156"/>
      <c r="I32" s="156"/>
      <c r="J32" s="157"/>
    </row>
    <row r="33" spans="1:10" ht="12.75" customHeight="1">
      <c r="A33" s="158"/>
      <c r="B33" s="156"/>
      <c r="C33" s="156"/>
      <c r="D33" s="156"/>
      <c r="E33" s="156"/>
      <c r="F33" s="156"/>
      <c r="G33" s="156"/>
      <c r="H33" s="156"/>
      <c r="I33" s="156"/>
      <c r="J33" s="157"/>
    </row>
    <row r="34" spans="1:10" ht="12.75" customHeight="1">
      <c r="A34" s="158"/>
      <c r="B34" s="156"/>
      <c r="C34" s="156"/>
      <c r="D34" s="156"/>
      <c r="E34" s="156"/>
      <c r="F34" s="156"/>
      <c r="G34" s="156"/>
      <c r="H34" s="156"/>
      <c r="I34" s="156"/>
      <c r="J34" s="157"/>
    </row>
    <row r="35" spans="1:10" ht="12.75" customHeight="1">
      <c r="A35" s="158"/>
      <c r="B35" s="156"/>
      <c r="C35" s="156"/>
      <c r="D35" s="156"/>
      <c r="E35" s="156"/>
      <c r="F35" s="156"/>
      <c r="G35" s="156"/>
      <c r="H35" s="156"/>
      <c r="I35" s="156"/>
      <c r="J35" s="157"/>
    </row>
    <row r="36" spans="1:10" ht="12.75" customHeight="1">
      <c r="A36" s="158"/>
      <c r="B36" s="156"/>
      <c r="C36" s="156"/>
      <c r="D36" s="156"/>
      <c r="E36" s="156"/>
      <c r="F36" s="156"/>
      <c r="G36" s="156"/>
      <c r="H36" s="156"/>
      <c r="I36" s="156"/>
      <c r="J36" s="157"/>
    </row>
    <row r="37" spans="1:10" ht="12.75" customHeight="1">
      <c r="A37" s="158"/>
      <c r="B37" s="156"/>
      <c r="C37" s="156"/>
      <c r="D37" s="156"/>
      <c r="E37" s="156"/>
      <c r="F37" s="156"/>
      <c r="G37" s="156"/>
      <c r="H37" s="156"/>
      <c r="I37" s="156"/>
      <c r="J37" s="157"/>
    </row>
    <row r="38" spans="1:10" ht="12.75" customHeight="1">
      <c r="A38" s="158"/>
      <c r="B38" s="156"/>
      <c r="C38" s="156"/>
      <c r="D38" s="156"/>
      <c r="E38" s="156"/>
      <c r="F38" s="156"/>
      <c r="G38" s="156"/>
      <c r="H38" s="156"/>
      <c r="I38" s="156"/>
      <c r="J38" s="157"/>
    </row>
    <row r="39" spans="1:10" ht="12.75" customHeight="1">
      <c r="A39" s="158"/>
      <c r="B39" s="156"/>
      <c r="C39" s="156"/>
      <c r="D39" s="156"/>
      <c r="E39" s="156"/>
      <c r="F39" s="156"/>
      <c r="G39" s="156"/>
      <c r="H39" s="156"/>
      <c r="I39" s="156"/>
      <c r="J39" s="157"/>
    </row>
    <row r="40" spans="1:10" ht="12.75" customHeight="1">
      <c r="A40" s="158"/>
      <c r="B40" s="156"/>
      <c r="C40" s="156"/>
      <c r="D40" s="156"/>
      <c r="E40" s="156"/>
      <c r="F40" s="156"/>
      <c r="G40" s="156"/>
      <c r="H40" s="156"/>
      <c r="I40" s="156"/>
      <c r="J40" s="157"/>
    </row>
    <row r="41" spans="1:10" ht="12.75" customHeight="1">
      <c r="A41" s="158"/>
      <c r="B41" s="156"/>
      <c r="C41" s="156"/>
      <c r="D41" s="156"/>
      <c r="E41" s="156"/>
      <c r="F41" s="156"/>
      <c r="G41" s="156"/>
      <c r="H41" s="156"/>
      <c r="I41" s="156"/>
      <c r="J41" s="157"/>
    </row>
    <row r="42" spans="1:10" ht="12.75" customHeight="1">
      <c r="A42" s="158"/>
      <c r="B42" s="156"/>
      <c r="C42" s="156"/>
      <c r="D42" s="156"/>
      <c r="E42" s="156"/>
      <c r="F42" s="156"/>
      <c r="G42" s="156"/>
      <c r="H42" s="156"/>
      <c r="I42" s="156"/>
      <c r="J42" s="157"/>
    </row>
    <row r="43" spans="1:10" ht="12.75" customHeight="1">
      <c r="A43" s="199"/>
      <c r="B43" s="167"/>
      <c r="C43" s="167"/>
      <c r="D43" s="167"/>
      <c r="E43" s="167"/>
      <c r="F43" s="167"/>
      <c r="G43" s="167"/>
      <c r="H43" s="167"/>
      <c r="I43" s="167"/>
      <c r="J43" s="168"/>
    </row>
    <row r="44" spans="1:10" ht="12.75" customHeight="1">
      <c r="A44" s="22"/>
      <c r="B44" s="22"/>
      <c r="C44" s="22"/>
      <c r="D44" s="22"/>
      <c r="E44" s="22"/>
      <c r="F44" s="22"/>
      <c r="G44" s="22"/>
      <c r="H44" s="22"/>
      <c r="I44" s="22"/>
      <c r="J44" s="22"/>
    </row>
    <row r="45" spans="1:10" ht="12.75" customHeight="1">
      <c r="A45" s="22"/>
      <c r="B45" s="22"/>
      <c r="C45" s="22"/>
      <c r="D45" s="22"/>
      <c r="E45" s="22"/>
      <c r="F45" s="22"/>
      <c r="G45" s="22"/>
      <c r="H45" s="22"/>
      <c r="I45" s="22"/>
      <c r="J45" s="22"/>
    </row>
    <row r="46" spans="1:10" ht="12.75" customHeight="1">
      <c r="A46" s="22"/>
      <c r="B46" s="22"/>
      <c r="C46" s="22"/>
      <c r="D46" s="22"/>
      <c r="E46" s="22"/>
      <c r="F46" s="22"/>
      <c r="G46" s="22"/>
      <c r="H46" s="22"/>
      <c r="I46" s="22"/>
      <c r="J46" s="22"/>
    </row>
    <row r="47" spans="1:10" ht="12.75" customHeight="1">
      <c r="A47" s="22"/>
      <c r="B47" s="22"/>
      <c r="C47" s="22"/>
      <c r="D47" s="22"/>
      <c r="E47" s="22"/>
      <c r="F47" s="22"/>
      <c r="G47" s="22"/>
      <c r="H47" s="22"/>
      <c r="I47" s="22"/>
      <c r="J47" s="22"/>
    </row>
    <row r="48" spans="1:10" ht="12.75" customHeight="1">
      <c r="A48" s="22"/>
      <c r="B48" s="22"/>
      <c r="C48" s="22"/>
      <c r="D48" s="22"/>
      <c r="E48" s="22"/>
      <c r="F48" s="22"/>
      <c r="G48" s="22"/>
      <c r="H48" s="22"/>
      <c r="I48" s="22"/>
      <c r="J48" s="22"/>
    </row>
    <row r="49" spans="1:10" ht="12.75" customHeight="1">
      <c r="A49" s="22"/>
      <c r="B49" s="22"/>
      <c r="C49" s="22"/>
      <c r="D49" s="22"/>
      <c r="E49" s="22"/>
      <c r="F49" s="22"/>
      <c r="G49" s="22"/>
      <c r="H49" s="22"/>
      <c r="I49" s="22"/>
      <c r="J49" s="22"/>
    </row>
    <row r="50" spans="1:10" ht="12.75" customHeight="1">
      <c r="A50" s="22"/>
      <c r="B50" s="22"/>
      <c r="C50" s="22"/>
      <c r="D50" s="22"/>
      <c r="E50" s="22"/>
      <c r="F50" s="22"/>
      <c r="G50" s="22"/>
      <c r="H50" s="22"/>
      <c r="I50" s="22"/>
      <c r="J50" s="22"/>
    </row>
    <row r="51" spans="1:10" ht="12.75" customHeight="1">
      <c r="A51" s="22"/>
      <c r="B51" s="22"/>
      <c r="C51" s="22"/>
      <c r="D51" s="22"/>
      <c r="E51" s="22"/>
      <c r="F51" s="22"/>
      <c r="G51" s="22"/>
      <c r="H51" s="22"/>
      <c r="I51" s="22"/>
      <c r="J51" s="22"/>
    </row>
    <row r="52" spans="1:10" ht="12.75" customHeight="1"/>
    <row r="53" spans="1:10" ht="12.75" customHeight="1">
      <c r="A53" s="169" t="s">
        <v>263</v>
      </c>
      <c r="B53" s="156"/>
      <c r="C53" s="156"/>
      <c r="D53" s="156"/>
      <c r="E53" s="156"/>
      <c r="F53" s="156"/>
      <c r="G53" s="156"/>
      <c r="H53" s="156"/>
      <c r="I53" s="156"/>
      <c r="J53" s="156"/>
    </row>
    <row r="54" spans="1:10" ht="12.75" customHeight="1">
      <c r="A54" s="302" t="s">
        <v>264</v>
      </c>
      <c r="B54" s="156"/>
      <c r="C54" s="156"/>
      <c r="D54" s="156"/>
      <c r="E54" s="156"/>
      <c r="F54" s="156"/>
      <c r="G54" s="156"/>
      <c r="H54" s="156"/>
      <c r="I54" s="156"/>
      <c r="J54" s="156"/>
    </row>
    <row r="55" spans="1:10" ht="12.75" customHeight="1"/>
    <row r="56" spans="1:10" ht="12.75" customHeight="1">
      <c r="A56" s="293" t="s">
        <v>240</v>
      </c>
      <c r="B56" s="156"/>
      <c r="C56" s="156"/>
      <c r="D56" s="156"/>
      <c r="E56" s="169" t="str">
        <f>County</f>
        <v>Humboldt</v>
      </c>
      <c r="F56" s="156"/>
      <c r="G56" s="156"/>
      <c r="H56" s="156"/>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4296875" defaultRowHeight="15" customHeight="1"/>
  <cols>
    <col min="1" max="1" width="43.453125" customWidth="1"/>
    <col min="2" max="2" width="21.54296875" customWidth="1"/>
    <col min="3" max="26" width="8.81640625" customWidth="1"/>
  </cols>
  <sheetData>
    <row r="1" spans="1:2" ht="12.75" customHeight="1">
      <c r="A1" s="133" t="s">
        <v>265</v>
      </c>
      <c r="B1" s="6" t="str">
        <f>County</f>
        <v>Humboldt</v>
      </c>
    </row>
    <row r="2" spans="1:2" ht="12.75" customHeight="1">
      <c r="A2" s="133" t="s">
        <v>266</v>
      </c>
      <c r="B2" s="134">
        <f>Reportdate</f>
        <v>45561</v>
      </c>
    </row>
    <row r="3" spans="1:2" ht="12.75" customHeight="1">
      <c r="A3" s="133" t="s">
        <v>267</v>
      </c>
      <c r="B3" s="23" t="e">
        <f>Chief</f>
        <v>#REF!</v>
      </c>
    </row>
    <row r="4" spans="1:2" ht="12.75" customHeight="1">
      <c r="A4" s="133" t="s">
        <v>268</v>
      </c>
      <c r="B4" s="133" t="e">
        <f>Chiefphone2</f>
        <v>#REF!</v>
      </c>
    </row>
    <row r="5" spans="1:2" ht="12.75" customHeight="1">
      <c r="A5" s="133" t="s">
        <v>269</v>
      </c>
      <c r="B5" s="133" t="e">
        <f>Address</f>
        <v>#REF!</v>
      </c>
    </row>
    <row r="6" spans="1:2" ht="12.75" customHeight="1">
      <c r="A6" s="133" t="s">
        <v>270</v>
      </c>
      <c r="B6" s="133" t="e">
        <f>City</f>
        <v>#REF!</v>
      </c>
    </row>
    <row r="7" spans="1:2" ht="12.75" customHeight="1">
      <c r="A7" s="133" t="s">
        <v>271</v>
      </c>
      <c r="B7" s="135" t="e">
        <f>ZIP</f>
        <v>#REF!</v>
      </c>
    </row>
    <row r="8" spans="1:2" ht="12.75" customHeight="1">
      <c r="A8" s="133" t="s">
        <v>272</v>
      </c>
      <c r="B8" s="133" t="e">
        <f>Chiefemail2</f>
        <v>#REF!</v>
      </c>
    </row>
    <row r="9" spans="1:2" ht="12.75" customHeight="1">
      <c r="A9" s="133" t="s">
        <v>273</v>
      </c>
      <c r="B9" s="133" t="str">
        <f>primcontact</f>
        <v>Coral Sanders</v>
      </c>
    </row>
    <row r="10" spans="1:2" ht="12.75" customHeight="1">
      <c r="A10" s="133" t="s">
        <v>274</v>
      </c>
      <c r="B10" s="133" t="str">
        <f>primarytitle</f>
        <v>Chief Probation Officer</v>
      </c>
    </row>
    <row r="11" spans="1:2" ht="12.75" customHeight="1">
      <c r="A11" s="133" t="s">
        <v>275</v>
      </c>
      <c r="B11" s="133" t="str">
        <f>primphone</f>
        <v>707-445-7401</v>
      </c>
    </row>
    <row r="12" spans="1:2" ht="12.75" customHeight="1">
      <c r="A12" s="133" t="s">
        <v>276</v>
      </c>
      <c r="B12" s="133" t="str">
        <f>preemail</f>
        <v>csanders@co.humboldt.ca.us</v>
      </c>
    </row>
    <row r="13" spans="1:2" ht="12.75" customHeight="1">
      <c r="A13" s="133" t="s">
        <v>277</v>
      </c>
      <c r="B13" s="136" t="str">
        <f>seccontact</f>
        <v>Megan Gotcher</v>
      </c>
    </row>
    <row r="14" spans="1:2" ht="12.75" customHeight="1">
      <c r="A14" s="133" t="s">
        <v>278</v>
      </c>
      <c r="B14" s="136" t="str">
        <f>seccontitle</f>
        <v>Juvenile Division Director</v>
      </c>
    </row>
    <row r="15" spans="1:2" ht="12.75" customHeight="1">
      <c r="A15" s="133" t="s">
        <v>279</v>
      </c>
      <c r="B15" s="133" t="str">
        <f>secphone</f>
        <v>707-445-7401</v>
      </c>
    </row>
    <row r="16" spans="1:2" ht="12.75" customHeight="1">
      <c r="A16" s="133" t="s">
        <v>280</v>
      </c>
      <c r="B16" s="133" t="str">
        <f>secemail</f>
        <v>mgotcher@co.humboldt.ca.us</v>
      </c>
    </row>
    <row r="17" spans="1:2" ht="12.75" customHeight="1">
      <c r="A17" s="133" t="s">
        <v>281</v>
      </c>
      <c r="B17" s="133" t="e">
        <f>t1yobgtot+t2yobgtot+t3yobgtot+t4yobgtot+t5yobgtot+t6yobgtot+t7yobgtot+t8yobgtot+t9yobgtot+t10yobgtot</f>
        <v>#REF!</v>
      </c>
    </row>
    <row r="18" spans="1:2" ht="12.75" customHeight="1">
      <c r="A18" s="133" t="s">
        <v>282</v>
      </c>
      <c r="B18" s="133" t="e">
        <f>t1jjcpatot+t2jjcpatot+t3jjcpatot+t4jjcpatot+t5jjcpatot+t6jjcpatot+t7jjcpatot+t8jjcpatot+t9jjcpatot+t10jjcpatot</f>
        <v>#REF!</v>
      </c>
    </row>
    <row r="19" spans="1:2" ht="12.75" customHeight="1">
      <c r="A19" s="133" t="s">
        <v>283</v>
      </c>
      <c r="B19" s="133" t="e">
        <f>t1othertot+t2othertot+t3othertot+t4othertot+t5othertot+t6othertot+t7othertot+t8othertot+t9othertot+t10othertot</f>
        <v>#REF!</v>
      </c>
    </row>
    <row r="20" spans="1:2" ht="12.75" customHeight="1">
      <c r="A20" s="133" t="s">
        <v>284</v>
      </c>
      <c r="B20" s="133" t="e">
        <f>t1casecount+t2casecount+t3casecount+t4casecount+t5casecount+t6casecount+t7casecount+t8casecount+t9casecount+t10casecount</f>
        <v>#REF!</v>
      </c>
    </row>
    <row r="21" spans="1:2" ht="12.75" customHeight="1">
      <c r="A21" s="133" t="s">
        <v>285</v>
      </c>
      <c r="B21" s="133" t="e">
        <f>Numecodet1</f>
        <v>#REF!</v>
      </c>
    </row>
    <row r="22" spans="1:2" ht="12.75" customHeight="1">
      <c r="A22" s="133" t="s">
        <v>286</v>
      </c>
      <c r="B22" s="133" t="e">
        <f>Numealtt1</f>
        <v>#REF!</v>
      </c>
    </row>
    <row r="23" spans="1:2" ht="12.75" customHeight="1">
      <c r="A23" s="133" t="s">
        <v>287</v>
      </c>
      <c r="B23" s="137">
        <f>t1yobgsal</f>
        <v>288824</v>
      </c>
    </row>
    <row r="24" spans="1:2" ht="12.75" customHeight="1">
      <c r="A24" s="133" t="s">
        <v>288</v>
      </c>
      <c r="B24" s="137">
        <f>t1yobgserv</f>
        <v>493</v>
      </c>
    </row>
    <row r="25" spans="1:2" ht="12.75" customHeight="1">
      <c r="A25" s="133" t="s">
        <v>289</v>
      </c>
      <c r="B25" s="137">
        <f>t1yobgprof</f>
        <v>0</v>
      </c>
    </row>
    <row r="26" spans="1:2" ht="12.75" customHeight="1">
      <c r="A26" s="133" t="s">
        <v>290</v>
      </c>
      <c r="B26" s="137">
        <f>t1yobgcbo</f>
        <v>0</v>
      </c>
    </row>
    <row r="27" spans="1:2" ht="12.75" customHeight="1">
      <c r="A27" s="133" t="s">
        <v>291</v>
      </c>
      <c r="B27" s="137">
        <f>t1yobgequip</f>
        <v>0</v>
      </c>
    </row>
    <row r="28" spans="1:2" ht="12.75" customHeight="1">
      <c r="A28" s="133" t="s">
        <v>292</v>
      </c>
      <c r="B28" s="137">
        <f>t1yobgadmin</f>
        <v>9441</v>
      </c>
    </row>
    <row r="29" spans="1:2" ht="12.75" customHeight="1">
      <c r="A29" s="133" t="s">
        <v>293</v>
      </c>
      <c r="B29" s="137">
        <f>t1yobgothr1</f>
        <v>0</v>
      </c>
    </row>
    <row r="30" spans="1:2" ht="12.75" customHeight="1">
      <c r="A30" s="133" t="s">
        <v>294</v>
      </c>
      <c r="B30" s="137">
        <f>t1yobgothr2</f>
        <v>0</v>
      </c>
    </row>
    <row r="31" spans="1:2" ht="12.75" customHeight="1">
      <c r="A31" s="133" t="s">
        <v>295</v>
      </c>
      <c r="B31" s="137">
        <f>t1yobgothr3</f>
        <v>0</v>
      </c>
    </row>
    <row r="32" spans="1:2" ht="12.75" customHeight="1">
      <c r="A32" s="133" t="s">
        <v>296</v>
      </c>
      <c r="B32" s="137">
        <f>t1yobgtot</f>
        <v>298758</v>
      </c>
    </row>
    <row r="33" spans="1:2" ht="12.75" customHeight="1">
      <c r="A33" s="133" t="s">
        <v>297</v>
      </c>
      <c r="B33" s="137">
        <f>t1jjcpasal</f>
        <v>0</v>
      </c>
    </row>
    <row r="34" spans="1:2" ht="12.75" customHeight="1">
      <c r="A34" s="133" t="s">
        <v>298</v>
      </c>
      <c r="B34" s="137">
        <f>t1jjcpaserv</f>
        <v>0</v>
      </c>
    </row>
    <row r="35" spans="1:2" ht="12.75" customHeight="1">
      <c r="A35" s="133" t="s">
        <v>299</v>
      </c>
      <c r="B35" s="137">
        <f>t1jjcpaprof</f>
        <v>0</v>
      </c>
    </row>
    <row r="36" spans="1:2" ht="12.75" customHeight="1">
      <c r="A36" s="133" t="s">
        <v>300</v>
      </c>
      <c r="B36" s="137">
        <f>t1jjcpacbo</f>
        <v>0</v>
      </c>
    </row>
    <row r="37" spans="1:2" ht="12.75" customHeight="1">
      <c r="A37" s="133" t="s">
        <v>301</v>
      </c>
      <c r="B37" s="137">
        <f>t1jjcpaequip</f>
        <v>0</v>
      </c>
    </row>
    <row r="38" spans="1:2" ht="12.75" customHeight="1">
      <c r="A38" s="133" t="s">
        <v>302</v>
      </c>
      <c r="B38" s="137">
        <f>t1jjcpaadmin</f>
        <v>0</v>
      </c>
    </row>
    <row r="39" spans="1:2" ht="12.75" customHeight="1">
      <c r="A39" s="133" t="s">
        <v>303</v>
      </c>
      <c r="B39" s="137">
        <f>t1jjcpaothr1</f>
        <v>0</v>
      </c>
    </row>
    <row r="40" spans="1:2" ht="12.75" customHeight="1">
      <c r="A40" s="133" t="s">
        <v>304</v>
      </c>
      <c r="B40" s="137">
        <f>t1jjcpaothr2</f>
        <v>0</v>
      </c>
    </row>
    <row r="41" spans="1:2" ht="12.75" customHeight="1">
      <c r="A41" s="133" t="s">
        <v>305</v>
      </c>
      <c r="B41" s="137">
        <f>t1jjcpaothr3</f>
        <v>0</v>
      </c>
    </row>
    <row r="42" spans="1:2" ht="12.75" customHeight="1">
      <c r="A42" s="133" t="s">
        <v>306</v>
      </c>
      <c r="B42" s="137">
        <f>t1jjcpatot</f>
        <v>0</v>
      </c>
    </row>
    <row r="43" spans="1:2" ht="12.75" customHeight="1">
      <c r="A43" s="133" t="s">
        <v>307</v>
      </c>
      <c r="B43" s="137">
        <f>t1othersal</f>
        <v>0</v>
      </c>
    </row>
    <row r="44" spans="1:2" ht="12.75" customHeight="1">
      <c r="A44" s="133" t="s">
        <v>308</v>
      </c>
      <c r="B44" s="137">
        <f>t1otherserv</f>
        <v>0</v>
      </c>
    </row>
    <row r="45" spans="1:2" ht="12.75" customHeight="1">
      <c r="A45" s="133" t="s">
        <v>309</v>
      </c>
      <c r="B45" s="137">
        <f>t1otherprof</f>
        <v>0</v>
      </c>
    </row>
    <row r="46" spans="1:2" ht="12.75" customHeight="1">
      <c r="A46" s="133" t="s">
        <v>310</v>
      </c>
      <c r="B46" s="137">
        <f>t1othercbo</f>
        <v>0</v>
      </c>
    </row>
    <row r="47" spans="1:2" ht="12.75" customHeight="1">
      <c r="A47" s="133" t="s">
        <v>311</v>
      </c>
      <c r="B47" s="137">
        <f>t1otherequip</f>
        <v>0</v>
      </c>
    </row>
    <row r="48" spans="1:2" ht="12.75" customHeight="1">
      <c r="A48" s="133" t="s">
        <v>312</v>
      </c>
      <c r="B48" s="137">
        <f>t1otheradmin</f>
        <v>0</v>
      </c>
    </row>
    <row r="49" spans="1:2" ht="12.75" customHeight="1">
      <c r="A49" s="133" t="s">
        <v>313</v>
      </c>
      <c r="B49" s="137">
        <f>t1otherothr1</f>
        <v>0</v>
      </c>
    </row>
    <row r="50" spans="1:2" ht="12.75" customHeight="1">
      <c r="A50" s="133" t="s">
        <v>314</v>
      </c>
      <c r="B50" s="137">
        <f>t1otherothr2</f>
        <v>0</v>
      </c>
    </row>
    <row r="51" spans="1:2" ht="12.75" customHeight="1">
      <c r="A51" s="133" t="s">
        <v>315</v>
      </c>
      <c r="B51" s="137">
        <f>t1otherothr3</f>
        <v>0</v>
      </c>
    </row>
    <row r="52" spans="1:2" ht="12.75" customHeight="1">
      <c r="A52" s="133" t="s">
        <v>316</v>
      </c>
      <c r="B52" s="137">
        <f>t1othertot</f>
        <v>0</v>
      </c>
    </row>
    <row r="53" spans="1:2" ht="12.75" customHeight="1">
      <c r="A53" s="133" t="s">
        <v>317</v>
      </c>
      <c r="B53" s="135" t="e">
        <f>t1casecount</f>
        <v>#REF!</v>
      </c>
    </row>
    <row r="54" spans="1:2" ht="12.75" customHeight="1">
      <c r="A54" s="133" t="s">
        <v>318</v>
      </c>
      <c r="B54" s="138" t="e">
        <f>t1yobgpercap</f>
        <v>#REF!</v>
      </c>
    </row>
    <row r="55" spans="1:2" ht="12.75" customHeight="1">
      <c r="A55" s="133" t="s">
        <v>319</v>
      </c>
      <c r="B55" s="138" t="e">
        <f>t1totpercap</f>
        <v>#REF!</v>
      </c>
    </row>
    <row r="56" spans="1:2" ht="12.75" customHeight="1">
      <c r="A56" s="133" t="s">
        <v>320</v>
      </c>
      <c r="B56" s="135" t="e">
        <f>t1youth1</f>
        <v>#REF!</v>
      </c>
    </row>
    <row r="57" spans="1:2" ht="12.75" customHeight="1">
      <c r="A57" s="133" t="s">
        <v>321</v>
      </c>
      <c r="B57" s="135" t="e">
        <f>t1youth2</f>
        <v>#REF!</v>
      </c>
    </row>
    <row r="58" spans="1:2" ht="12.75" customHeight="1">
      <c r="A58" s="133" t="s">
        <v>322</v>
      </c>
      <c r="B58" s="135" t="e">
        <f>t1youth3</f>
        <v>#REF!</v>
      </c>
    </row>
    <row r="59" spans="1:2" ht="12.75" customHeight="1">
      <c r="A59" s="133" t="s">
        <v>323</v>
      </c>
      <c r="B59" s="135" t="e">
        <f>t1youth4</f>
        <v>#REF!</v>
      </c>
    </row>
    <row r="60" spans="1:2" ht="12.75" customHeight="1">
      <c r="A60" s="133" t="s">
        <v>324</v>
      </c>
      <c r="B60" s="135" t="e">
        <f>t1youth5</f>
        <v>#REF!</v>
      </c>
    </row>
    <row r="61" spans="1:2" ht="12.75" customHeight="1">
      <c r="A61" s="133" t="s">
        <v>325</v>
      </c>
      <c r="B61" s="135" t="e">
        <f>t1youth6</f>
        <v>#REF!</v>
      </c>
    </row>
    <row r="62" spans="1:2" ht="12.75" customHeight="1">
      <c r="A62" s="133" t="s">
        <v>326</v>
      </c>
      <c r="B62" s="133" t="e">
        <f>Numecodet2</f>
        <v>#REF!</v>
      </c>
    </row>
    <row r="63" spans="1:2" ht="12.75" customHeight="1">
      <c r="A63" s="133" t="s">
        <v>327</v>
      </c>
      <c r="B63" s="133" t="e">
        <f>Numealtt2</f>
        <v>#REF!</v>
      </c>
    </row>
    <row r="64" spans="1:2" ht="12.75" customHeight="1">
      <c r="A64" s="133" t="s">
        <v>328</v>
      </c>
      <c r="B64" s="137" t="e">
        <f>t2yobgsal</f>
        <v>#REF!</v>
      </c>
    </row>
    <row r="65" spans="1:2" ht="12.75" customHeight="1">
      <c r="A65" s="133" t="s">
        <v>329</v>
      </c>
      <c r="B65" s="137" t="e">
        <f>t2yobgserv</f>
        <v>#REF!</v>
      </c>
    </row>
    <row r="66" spans="1:2" ht="12.75" customHeight="1">
      <c r="A66" s="133" t="s">
        <v>330</v>
      </c>
      <c r="B66" s="137" t="e">
        <f>t2yobgprof</f>
        <v>#REF!</v>
      </c>
    </row>
    <row r="67" spans="1:2" ht="12.75" customHeight="1">
      <c r="A67" s="133" t="s">
        <v>331</v>
      </c>
      <c r="B67" s="137" t="e">
        <f>t2yobgcbo</f>
        <v>#REF!</v>
      </c>
    </row>
    <row r="68" spans="1:2" ht="12.75" customHeight="1">
      <c r="A68" s="133" t="s">
        <v>332</v>
      </c>
      <c r="B68" s="137" t="e">
        <f>t2yobgequip</f>
        <v>#REF!</v>
      </c>
    </row>
    <row r="69" spans="1:2" ht="12.75" customHeight="1">
      <c r="A69" s="133" t="s">
        <v>333</v>
      </c>
      <c r="B69" s="137" t="e">
        <f>t2yobgadmin</f>
        <v>#REF!</v>
      </c>
    </row>
    <row r="70" spans="1:2" ht="12.75" customHeight="1">
      <c r="A70" s="133" t="s">
        <v>334</v>
      </c>
      <c r="B70" s="137" t="e">
        <f>t2yobgothr1</f>
        <v>#REF!</v>
      </c>
    </row>
    <row r="71" spans="1:2" ht="12.75" customHeight="1">
      <c r="A71" s="133" t="s">
        <v>335</v>
      </c>
      <c r="B71" s="137" t="e">
        <f>t2yobgothr2</f>
        <v>#REF!</v>
      </c>
    </row>
    <row r="72" spans="1:2" ht="12.75" customHeight="1">
      <c r="A72" s="133" t="s">
        <v>336</v>
      </c>
      <c r="B72" s="137" t="e">
        <f>t2yobgothr3</f>
        <v>#REF!</v>
      </c>
    </row>
    <row r="73" spans="1:2" ht="12.75" customHeight="1">
      <c r="A73" s="133" t="s">
        <v>337</v>
      </c>
      <c r="B73" s="137" t="e">
        <f>t2yobgtot</f>
        <v>#REF!</v>
      </c>
    </row>
    <row r="74" spans="1:2" ht="12.75" customHeight="1">
      <c r="A74" s="133" t="s">
        <v>338</v>
      </c>
      <c r="B74" s="137" t="e">
        <f>t2jjcpasal</f>
        <v>#REF!</v>
      </c>
    </row>
    <row r="75" spans="1:2" ht="12.75" customHeight="1">
      <c r="A75" s="133" t="s">
        <v>339</v>
      </c>
      <c r="B75" s="137" t="e">
        <f>t2jjcpaserv</f>
        <v>#REF!</v>
      </c>
    </row>
    <row r="76" spans="1:2" ht="12.75" customHeight="1">
      <c r="A76" s="133" t="s">
        <v>340</v>
      </c>
      <c r="B76" s="137" t="e">
        <f>t2jjcpaprof</f>
        <v>#REF!</v>
      </c>
    </row>
    <row r="77" spans="1:2" ht="12.75" customHeight="1">
      <c r="A77" s="133" t="s">
        <v>341</v>
      </c>
      <c r="B77" s="137" t="e">
        <f>t2jjcpacbo</f>
        <v>#REF!</v>
      </c>
    </row>
    <row r="78" spans="1:2" ht="12.75" customHeight="1">
      <c r="A78" s="133" t="s">
        <v>342</v>
      </c>
      <c r="B78" s="137" t="e">
        <f>t2jjcpaequip</f>
        <v>#REF!</v>
      </c>
    </row>
    <row r="79" spans="1:2" ht="12.75" customHeight="1">
      <c r="A79" s="133" t="s">
        <v>343</v>
      </c>
      <c r="B79" s="137" t="e">
        <f>t2jjcpaadmin</f>
        <v>#REF!</v>
      </c>
    </row>
    <row r="80" spans="1:2" ht="12.75" customHeight="1">
      <c r="A80" s="133" t="s">
        <v>344</v>
      </c>
      <c r="B80" s="137" t="e">
        <f>t2jjcpaothr1</f>
        <v>#REF!</v>
      </c>
    </row>
    <row r="81" spans="1:2" ht="12.75" customHeight="1">
      <c r="A81" s="133" t="s">
        <v>345</v>
      </c>
      <c r="B81" s="137" t="e">
        <f>t2jjcpaothr2</f>
        <v>#REF!</v>
      </c>
    </row>
    <row r="82" spans="1:2" ht="12.75" customHeight="1">
      <c r="A82" s="133" t="s">
        <v>346</v>
      </c>
      <c r="B82" s="137" t="e">
        <f>t2jjcpaothr3</f>
        <v>#REF!</v>
      </c>
    </row>
    <row r="83" spans="1:2" ht="12.75" customHeight="1">
      <c r="A83" s="133" t="s">
        <v>347</v>
      </c>
      <c r="B83" s="137" t="e">
        <f>t2jjcpatot</f>
        <v>#REF!</v>
      </c>
    </row>
    <row r="84" spans="1:2" ht="12.75" customHeight="1">
      <c r="A84" s="133" t="s">
        <v>348</v>
      </c>
      <c r="B84" s="137" t="e">
        <f>t2othersal</f>
        <v>#REF!</v>
      </c>
    </row>
    <row r="85" spans="1:2" ht="12.75" customHeight="1">
      <c r="A85" s="133" t="s">
        <v>349</v>
      </c>
      <c r="B85" s="137" t="e">
        <f>t2otherserv</f>
        <v>#REF!</v>
      </c>
    </row>
    <row r="86" spans="1:2" ht="12.75" customHeight="1">
      <c r="A86" s="133" t="s">
        <v>350</v>
      </c>
      <c r="B86" s="137" t="e">
        <f>t2otherprof</f>
        <v>#REF!</v>
      </c>
    </row>
    <row r="87" spans="1:2" ht="12.75" customHeight="1">
      <c r="A87" s="133" t="s">
        <v>351</v>
      </c>
      <c r="B87" s="137" t="e">
        <f>t2othercbo</f>
        <v>#REF!</v>
      </c>
    </row>
    <row r="88" spans="1:2" ht="12.75" customHeight="1">
      <c r="A88" s="133" t="s">
        <v>352</v>
      </c>
      <c r="B88" s="137" t="e">
        <f>t2otherequip</f>
        <v>#REF!</v>
      </c>
    </row>
    <row r="89" spans="1:2" ht="12.75" customHeight="1">
      <c r="A89" s="133" t="s">
        <v>353</v>
      </c>
      <c r="B89" s="137" t="e">
        <f>t2otheradmin</f>
        <v>#REF!</v>
      </c>
    </row>
    <row r="90" spans="1:2" ht="12.75" customHeight="1">
      <c r="A90" s="133" t="s">
        <v>354</v>
      </c>
      <c r="B90" s="137" t="e">
        <f>t2otherothr1</f>
        <v>#REF!</v>
      </c>
    </row>
    <row r="91" spans="1:2" ht="12.75" customHeight="1">
      <c r="A91" s="133" t="s">
        <v>355</v>
      </c>
      <c r="B91" s="137" t="e">
        <f>t2otherothr2</f>
        <v>#REF!</v>
      </c>
    </row>
    <row r="92" spans="1:2" ht="12.75" customHeight="1">
      <c r="A92" s="133" t="s">
        <v>356</v>
      </c>
      <c r="B92" s="137" t="e">
        <f>t2otherothr3</f>
        <v>#REF!</v>
      </c>
    </row>
    <row r="93" spans="1:2" ht="12.75" customHeight="1">
      <c r="A93" s="133" t="s">
        <v>357</v>
      </c>
      <c r="B93" s="137" t="e">
        <f>t2othertot</f>
        <v>#REF!</v>
      </c>
    </row>
    <row r="94" spans="1:2" ht="12.75" customHeight="1">
      <c r="A94" s="133" t="s">
        <v>358</v>
      </c>
      <c r="B94" s="135" t="e">
        <f>t2casecount</f>
        <v>#REF!</v>
      </c>
    </row>
    <row r="95" spans="1:2" ht="12.75" customHeight="1">
      <c r="A95" s="133" t="s">
        <v>359</v>
      </c>
      <c r="B95" s="138" t="e">
        <f>t2yobgpercap</f>
        <v>#REF!</v>
      </c>
    </row>
    <row r="96" spans="1:2" ht="12.75" customHeight="1">
      <c r="A96" s="133" t="s">
        <v>360</v>
      </c>
      <c r="B96" s="138" t="e">
        <f>t2totpercap</f>
        <v>#REF!</v>
      </c>
    </row>
    <row r="97" spans="1:2" ht="12.75" customHeight="1">
      <c r="A97" s="133" t="s">
        <v>361</v>
      </c>
      <c r="B97" s="135" t="e">
        <f>t2youth1</f>
        <v>#REF!</v>
      </c>
    </row>
    <row r="98" spans="1:2" ht="12.75" customHeight="1">
      <c r="A98" s="133" t="s">
        <v>362</v>
      </c>
      <c r="B98" s="135" t="e">
        <f>t2youth2</f>
        <v>#REF!</v>
      </c>
    </row>
    <row r="99" spans="1:2" ht="12.75" customHeight="1">
      <c r="A99" s="133" t="s">
        <v>363</v>
      </c>
      <c r="B99" s="135" t="e">
        <f>t2youth3</f>
        <v>#REF!</v>
      </c>
    </row>
    <row r="100" spans="1:2" ht="12.75" customHeight="1">
      <c r="A100" s="133" t="s">
        <v>364</v>
      </c>
      <c r="B100" s="135" t="e">
        <f>t2youth4</f>
        <v>#REF!</v>
      </c>
    </row>
    <row r="101" spans="1:2" ht="12.75" customHeight="1">
      <c r="A101" s="133" t="s">
        <v>365</v>
      </c>
      <c r="B101" s="135" t="e">
        <f>t2youth5</f>
        <v>#REF!</v>
      </c>
    </row>
    <row r="102" spans="1:2" ht="12.75" customHeight="1">
      <c r="A102" s="133" t="s">
        <v>366</v>
      </c>
      <c r="B102" s="135" t="e">
        <f>t2youth6</f>
        <v>#REF!</v>
      </c>
    </row>
    <row r="103" spans="1:2" ht="12.75" customHeight="1">
      <c r="A103" s="133" t="s">
        <v>367</v>
      </c>
      <c r="B103" s="133" t="e">
        <f>Numecodet3</f>
        <v>#REF!</v>
      </c>
    </row>
    <row r="104" spans="1:2" ht="12.75" customHeight="1">
      <c r="A104" s="133" t="s">
        <v>368</v>
      </c>
      <c r="B104" s="133" t="e">
        <f>Numealtt3</f>
        <v>#REF!</v>
      </c>
    </row>
    <row r="105" spans="1:2" ht="12.75" customHeight="1">
      <c r="A105" s="133" t="s">
        <v>369</v>
      </c>
      <c r="B105" s="137" t="e">
        <f>t3yobgsal</f>
        <v>#REF!</v>
      </c>
    </row>
    <row r="106" spans="1:2" ht="12.75" customHeight="1">
      <c r="A106" s="133" t="s">
        <v>370</v>
      </c>
      <c r="B106" s="137" t="e">
        <f>t3yobgserv</f>
        <v>#REF!</v>
      </c>
    </row>
    <row r="107" spans="1:2" ht="12.75" customHeight="1">
      <c r="A107" s="133" t="s">
        <v>371</v>
      </c>
      <c r="B107" s="137" t="e">
        <f>t3yobgprof</f>
        <v>#REF!</v>
      </c>
    </row>
    <row r="108" spans="1:2" ht="12.75" customHeight="1">
      <c r="A108" s="133" t="s">
        <v>372</v>
      </c>
      <c r="B108" s="137" t="e">
        <f>t3yobgcbo</f>
        <v>#REF!</v>
      </c>
    </row>
    <row r="109" spans="1:2" ht="12.75" customHeight="1">
      <c r="A109" s="133" t="s">
        <v>373</v>
      </c>
      <c r="B109" s="137" t="e">
        <f>t3yobgequip</f>
        <v>#REF!</v>
      </c>
    </row>
    <row r="110" spans="1:2" ht="12.75" customHeight="1">
      <c r="A110" s="133" t="s">
        <v>374</v>
      </c>
      <c r="B110" s="137" t="e">
        <f>t3yobgadmin</f>
        <v>#REF!</v>
      </c>
    </row>
    <row r="111" spans="1:2" ht="12.75" customHeight="1">
      <c r="A111" s="133" t="s">
        <v>375</v>
      </c>
      <c r="B111" s="137" t="e">
        <f>t3yobgothr1</f>
        <v>#REF!</v>
      </c>
    </row>
    <row r="112" spans="1:2" ht="12.75" customHeight="1">
      <c r="A112" s="133" t="s">
        <v>376</v>
      </c>
      <c r="B112" s="137" t="e">
        <f>t3yobgothr2</f>
        <v>#REF!</v>
      </c>
    </row>
    <row r="113" spans="1:2" ht="12.75" customHeight="1">
      <c r="A113" s="133" t="s">
        <v>377</v>
      </c>
      <c r="B113" s="137" t="e">
        <f>t3yobgothr3</f>
        <v>#REF!</v>
      </c>
    </row>
    <row r="114" spans="1:2" ht="12.75" customHeight="1">
      <c r="A114" s="133" t="s">
        <v>378</v>
      </c>
      <c r="B114" s="137" t="e">
        <f>t3yobgtot</f>
        <v>#REF!</v>
      </c>
    </row>
    <row r="115" spans="1:2" ht="12.75" customHeight="1">
      <c r="A115" s="133" t="s">
        <v>379</v>
      </c>
      <c r="B115" s="137" t="e">
        <f>t3jjcpasal</f>
        <v>#REF!</v>
      </c>
    </row>
    <row r="116" spans="1:2" ht="12.75" customHeight="1">
      <c r="A116" s="133" t="s">
        <v>380</v>
      </c>
      <c r="B116" s="137" t="e">
        <f>t3jjcpaserv</f>
        <v>#REF!</v>
      </c>
    </row>
    <row r="117" spans="1:2" ht="12.75" customHeight="1">
      <c r="A117" s="133" t="s">
        <v>381</v>
      </c>
      <c r="B117" s="137" t="e">
        <f>t3jjcpaprof</f>
        <v>#REF!</v>
      </c>
    </row>
    <row r="118" spans="1:2" ht="12.75" customHeight="1">
      <c r="A118" s="133" t="s">
        <v>382</v>
      </c>
      <c r="B118" s="137" t="e">
        <f>t3jjcpacbo</f>
        <v>#REF!</v>
      </c>
    </row>
    <row r="119" spans="1:2" ht="12.75" customHeight="1">
      <c r="A119" s="133" t="s">
        <v>383</v>
      </c>
      <c r="B119" s="137" t="e">
        <f>t3jjcpaequip</f>
        <v>#REF!</v>
      </c>
    </row>
    <row r="120" spans="1:2" ht="12.75" customHeight="1">
      <c r="A120" s="133" t="s">
        <v>384</v>
      </c>
      <c r="B120" s="137" t="e">
        <f>t3jjcpaadmin</f>
        <v>#REF!</v>
      </c>
    </row>
    <row r="121" spans="1:2" ht="12.75" customHeight="1">
      <c r="A121" s="133" t="s">
        <v>385</v>
      </c>
      <c r="B121" s="137" t="e">
        <f>t3jjcpaothr1</f>
        <v>#REF!</v>
      </c>
    </row>
    <row r="122" spans="1:2" ht="12.75" customHeight="1">
      <c r="A122" s="133" t="s">
        <v>386</v>
      </c>
      <c r="B122" s="137" t="e">
        <f>t3jjcpaothr2</f>
        <v>#REF!</v>
      </c>
    </row>
    <row r="123" spans="1:2" ht="12.75" customHeight="1">
      <c r="A123" s="133" t="s">
        <v>387</v>
      </c>
      <c r="B123" s="137" t="e">
        <f>t3jjcpaothr3</f>
        <v>#REF!</v>
      </c>
    </row>
    <row r="124" spans="1:2" ht="12.75" customHeight="1">
      <c r="A124" s="133" t="s">
        <v>388</v>
      </c>
      <c r="B124" s="137" t="e">
        <f>t3jjcpatot</f>
        <v>#REF!</v>
      </c>
    </row>
    <row r="125" spans="1:2" ht="12.75" customHeight="1">
      <c r="A125" s="133" t="s">
        <v>389</v>
      </c>
      <c r="B125" s="137" t="e">
        <f>t3othersal</f>
        <v>#REF!</v>
      </c>
    </row>
    <row r="126" spans="1:2" ht="12.75" customHeight="1">
      <c r="A126" s="133" t="s">
        <v>390</v>
      </c>
      <c r="B126" s="137" t="e">
        <f>t3otherserv</f>
        <v>#REF!</v>
      </c>
    </row>
    <row r="127" spans="1:2" ht="12.75" customHeight="1">
      <c r="A127" s="133" t="s">
        <v>391</v>
      </c>
      <c r="B127" s="137" t="e">
        <f>t3otherprof</f>
        <v>#REF!</v>
      </c>
    </row>
    <row r="128" spans="1:2" ht="12.75" customHeight="1">
      <c r="A128" s="133" t="s">
        <v>392</v>
      </c>
      <c r="B128" s="137" t="e">
        <f>t3othercbo</f>
        <v>#REF!</v>
      </c>
    </row>
    <row r="129" spans="1:2" ht="12.75" customHeight="1">
      <c r="A129" s="133" t="s">
        <v>393</v>
      </c>
      <c r="B129" s="137" t="e">
        <f>t3otherequip</f>
        <v>#REF!</v>
      </c>
    </row>
    <row r="130" spans="1:2" ht="12.75" customHeight="1">
      <c r="A130" s="133" t="s">
        <v>394</v>
      </c>
      <c r="B130" s="137" t="e">
        <f>t3otheradmin</f>
        <v>#REF!</v>
      </c>
    </row>
    <row r="131" spans="1:2" ht="12.75" customHeight="1">
      <c r="A131" s="133" t="s">
        <v>395</v>
      </c>
      <c r="B131" s="137" t="e">
        <f>t3otherothr1</f>
        <v>#REF!</v>
      </c>
    </row>
    <row r="132" spans="1:2" ht="12.75" customHeight="1">
      <c r="A132" s="133" t="s">
        <v>396</v>
      </c>
      <c r="B132" s="137" t="e">
        <f>t3otherothr2</f>
        <v>#REF!</v>
      </c>
    </row>
    <row r="133" spans="1:2" ht="12.75" customHeight="1">
      <c r="A133" s="133" t="s">
        <v>397</v>
      </c>
      <c r="B133" s="137" t="e">
        <f>t3otherothr3</f>
        <v>#REF!</v>
      </c>
    </row>
    <row r="134" spans="1:2" ht="12.75" customHeight="1">
      <c r="A134" s="133" t="s">
        <v>398</v>
      </c>
      <c r="B134" s="137" t="e">
        <f>t3othertot</f>
        <v>#REF!</v>
      </c>
    </row>
    <row r="135" spans="1:2" ht="12.75" customHeight="1">
      <c r="A135" s="133" t="s">
        <v>399</v>
      </c>
      <c r="B135" s="135" t="e">
        <f>t3casecount</f>
        <v>#REF!</v>
      </c>
    </row>
    <row r="136" spans="1:2" ht="12.75" customHeight="1">
      <c r="A136" s="133" t="s">
        <v>400</v>
      </c>
      <c r="B136" s="138" t="e">
        <f>t3yobgpercap</f>
        <v>#REF!</v>
      </c>
    </row>
    <row r="137" spans="1:2" ht="12.75" customHeight="1">
      <c r="A137" s="133" t="s">
        <v>401</v>
      </c>
      <c r="B137" s="138" t="e">
        <f>t3totpercap</f>
        <v>#REF!</v>
      </c>
    </row>
    <row r="138" spans="1:2" ht="12.75" customHeight="1">
      <c r="A138" s="133" t="s">
        <v>402</v>
      </c>
      <c r="B138" s="135" t="e">
        <f>t3youth1</f>
        <v>#REF!</v>
      </c>
    </row>
    <row r="139" spans="1:2" ht="12.75" customHeight="1">
      <c r="A139" s="133" t="s">
        <v>403</v>
      </c>
      <c r="B139" s="135" t="e">
        <f>t3youth2</f>
        <v>#REF!</v>
      </c>
    </row>
    <row r="140" spans="1:2" ht="12.75" customHeight="1">
      <c r="A140" s="133" t="s">
        <v>404</v>
      </c>
      <c r="B140" s="135" t="e">
        <f>t3youth3</f>
        <v>#REF!</v>
      </c>
    </row>
    <row r="141" spans="1:2" ht="12.75" customHeight="1">
      <c r="A141" s="133" t="s">
        <v>405</v>
      </c>
      <c r="B141" s="135" t="e">
        <f>t3youth4</f>
        <v>#REF!</v>
      </c>
    </row>
    <row r="142" spans="1:2" ht="12.75" customHeight="1">
      <c r="A142" s="133" t="s">
        <v>406</v>
      </c>
      <c r="B142" s="135" t="e">
        <f>t3youth5</f>
        <v>#REF!</v>
      </c>
    </row>
    <row r="143" spans="1:2" ht="12.75" customHeight="1">
      <c r="A143" s="133" t="s">
        <v>407</v>
      </c>
      <c r="B143" s="135" t="e">
        <f>t3youth6</f>
        <v>#REF!</v>
      </c>
    </row>
    <row r="144" spans="1:2" ht="12.75" customHeight="1">
      <c r="A144" s="133" t="s">
        <v>408</v>
      </c>
      <c r="B144" s="133" t="e">
        <f>Numecodet4</f>
        <v>#REF!</v>
      </c>
    </row>
    <row r="145" spans="1:2" ht="12.75" customHeight="1">
      <c r="A145" s="133" t="s">
        <v>409</v>
      </c>
      <c r="B145" s="133" t="e">
        <f>Numealtt4</f>
        <v>#REF!</v>
      </c>
    </row>
    <row r="146" spans="1:2" ht="12.75" customHeight="1">
      <c r="A146" s="133" t="s">
        <v>410</v>
      </c>
      <c r="B146" s="137" t="e">
        <f>t4yobgsal</f>
        <v>#REF!</v>
      </c>
    </row>
    <row r="147" spans="1:2" ht="12.75" customHeight="1">
      <c r="A147" s="133" t="s">
        <v>411</v>
      </c>
      <c r="B147" s="137" t="e">
        <f>t4yobgserv</f>
        <v>#REF!</v>
      </c>
    </row>
    <row r="148" spans="1:2" ht="12.75" customHeight="1">
      <c r="A148" s="133" t="s">
        <v>412</v>
      </c>
      <c r="B148" s="137" t="e">
        <f>t4yobgprof</f>
        <v>#REF!</v>
      </c>
    </row>
    <row r="149" spans="1:2" ht="12.75" customHeight="1">
      <c r="A149" s="133" t="s">
        <v>413</v>
      </c>
      <c r="B149" s="137" t="e">
        <f>t4yobgcbo</f>
        <v>#REF!</v>
      </c>
    </row>
    <row r="150" spans="1:2" ht="12.75" customHeight="1">
      <c r="A150" s="133" t="s">
        <v>414</v>
      </c>
      <c r="B150" s="137" t="e">
        <f>t4yobgequip</f>
        <v>#REF!</v>
      </c>
    </row>
    <row r="151" spans="1:2" ht="12.75" customHeight="1">
      <c r="A151" s="133" t="s">
        <v>415</v>
      </c>
      <c r="B151" s="137" t="e">
        <f>t4yobgadmin</f>
        <v>#REF!</v>
      </c>
    </row>
    <row r="152" spans="1:2" ht="12.75" customHeight="1">
      <c r="A152" s="133" t="s">
        <v>416</v>
      </c>
      <c r="B152" s="137" t="e">
        <f>t4yobgothr1</f>
        <v>#REF!</v>
      </c>
    </row>
    <row r="153" spans="1:2" ht="12.75" customHeight="1">
      <c r="A153" s="133" t="s">
        <v>417</v>
      </c>
      <c r="B153" s="137" t="e">
        <f>t4yobgothr2</f>
        <v>#REF!</v>
      </c>
    </row>
    <row r="154" spans="1:2" ht="12.75" customHeight="1">
      <c r="A154" s="133" t="s">
        <v>418</v>
      </c>
      <c r="B154" s="137" t="e">
        <f>t4yobgothr3</f>
        <v>#REF!</v>
      </c>
    </row>
    <row r="155" spans="1:2" ht="12.75" customHeight="1">
      <c r="A155" s="133" t="s">
        <v>419</v>
      </c>
      <c r="B155" s="137" t="e">
        <f>t4yobgtot</f>
        <v>#REF!</v>
      </c>
    </row>
    <row r="156" spans="1:2" ht="12.75" customHeight="1">
      <c r="A156" s="133" t="s">
        <v>420</v>
      </c>
      <c r="B156" s="137" t="e">
        <f>t4jjcpasal</f>
        <v>#REF!</v>
      </c>
    </row>
    <row r="157" spans="1:2" ht="12.75" customHeight="1">
      <c r="A157" s="133" t="s">
        <v>421</v>
      </c>
      <c r="B157" s="137" t="e">
        <f>t4jjcpaserv</f>
        <v>#REF!</v>
      </c>
    </row>
    <row r="158" spans="1:2" ht="12.75" customHeight="1">
      <c r="A158" s="133" t="s">
        <v>422</v>
      </c>
      <c r="B158" s="137" t="e">
        <f>t4jjcpaprof</f>
        <v>#REF!</v>
      </c>
    </row>
    <row r="159" spans="1:2" ht="12.75" customHeight="1">
      <c r="A159" s="133" t="s">
        <v>423</v>
      </c>
      <c r="B159" s="137" t="e">
        <f>t4jjcpacbo</f>
        <v>#REF!</v>
      </c>
    </row>
    <row r="160" spans="1:2" ht="12.75" customHeight="1">
      <c r="A160" s="133" t="s">
        <v>424</v>
      </c>
      <c r="B160" s="137" t="e">
        <f>t4jjcpaequip</f>
        <v>#REF!</v>
      </c>
    </row>
    <row r="161" spans="1:2" ht="12.75" customHeight="1">
      <c r="A161" s="133" t="s">
        <v>425</v>
      </c>
      <c r="B161" s="137" t="e">
        <f>t4jjcpaadmin</f>
        <v>#REF!</v>
      </c>
    </row>
    <row r="162" spans="1:2" ht="12.75" customHeight="1">
      <c r="A162" s="133" t="s">
        <v>426</v>
      </c>
      <c r="B162" s="137" t="e">
        <f>t4jjcpaothr1</f>
        <v>#REF!</v>
      </c>
    </row>
    <row r="163" spans="1:2" ht="12.75" customHeight="1">
      <c r="A163" s="133" t="s">
        <v>427</v>
      </c>
      <c r="B163" s="137" t="e">
        <f>t4jjcpaothr2</f>
        <v>#REF!</v>
      </c>
    </row>
    <row r="164" spans="1:2" ht="12.75" customHeight="1">
      <c r="A164" s="133" t="s">
        <v>428</v>
      </c>
      <c r="B164" s="137" t="e">
        <f>t4jjcpaothr3</f>
        <v>#REF!</v>
      </c>
    </row>
    <row r="165" spans="1:2" ht="12.75" customHeight="1">
      <c r="A165" s="133" t="s">
        <v>429</v>
      </c>
      <c r="B165" s="137" t="e">
        <f>t4jjcpatot</f>
        <v>#REF!</v>
      </c>
    </row>
    <row r="166" spans="1:2" ht="12.75" customHeight="1">
      <c r="A166" s="133" t="s">
        <v>430</v>
      </c>
      <c r="B166" s="137" t="e">
        <f>t4othersal</f>
        <v>#REF!</v>
      </c>
    </row>
    <row r="167" spans="1:2" ht="12.75" customHeight="1">
      <c r="A167" s="133" t="s">
        <v>431</v>
      </c>
      <c r="B167" s="137" t="e">
        <f>t4otherserv</f>
        <v>#REF!</v>
      </c>
    </row>
    <row r="168" spans="1:2" ht="12.75" customHeight="1">
      <c r="A168" s="133" t="s">
        <v>432</v>
      </c>
      <c r="B168" s="137" t="e">
        <f>t4otherprof</f>
        <v>#REF!</v>
      </c>
    </row>
    <row r="169" spans="1:2" ht="12.75" customHeight="1">
      <c r="A169" s="133" t="s">
        <v>433</v>
      </c>
      <c r="B169" s="137" t="e">
        <f>t4othercbo</f>
        <v>#REF!</v>
      </c>
    </row>
    <row r="170" spans="1:2" ht="12.75" customHeight="1">
      <c r="A170" s="133" t="s">
        <v>434</v>
      </c>
      <c r="B170" s="137" t="e">
        <f>t4otherequip</f>
        <v>#REF!</v>
      </c>
    </row>
    <row r="171" spans="1:2" ht="12.75" customHeight="1">
      <c r="A171" s="133" t="s">
        <v>435</v>
      </c>
      <c r="B171" s="137" t="e">
        <f>t4otheradmin</f>
        <v>#REF!</v>
      </c>
    </row>
    <row r="172" spans="1:2" ht="12.75" customHeight="1">
      <c r="A172" s="133" t="s">
        <v>436</v>
      </c>
      <c r="B172" s="137" t="e">
        <f>t4otherothr1</f>
        <v>#REF!</v>
      </c>
    </row>
    <row r="173" spans="1:2" ht="12.75" customHeight="1">
      <c r="A173" s="133" t="s">
        <v>437</v>
      </c>
      <c r="B173" s="137" t="e">
        <f>t4otherothr2</f>
        <v>#REF!</v>
      </c>
    </row>
    <row r="174" spans="1:2" ht="12.75" customHeight="1">
      <c r="A174" s="133" t="s">
        <v>438</v>
      </c>
      <c r="B174" s="137" t="e">
        <f>t4otherothr3</f>
        <v>#REF!</v>
      </c>
    </row>
    <row r="175" spans="1:2" ht="12.75" customHeight="1">
      <c r="A175" s="133" t="s">
        <v>439</v>
      </c>
      <c r="B175" s="137" t="e">
        <f>t4othertot</f>
        <v>#REF!</v>
      </c>
    </row>
    <row r="176" spans="1:2" ht="12.75" customHeight="1">
      <c r="A176" s="133" t="s">
        <v>440</v>
      </c>
      <c r="B176" s="135" t="e">
        <f>t4casecount</f>
        <v>#REF!</v>
      </c>
    </row>
    <row r="177" spans="1:2" ht="12.75" customHeight="1">
      <c r="A177" s="133" t="s">
        <v>441</v>
      </c>
      <c r="B177" s="138" t="e">
        <f>t4yobgpercap</f>
        <v>#REF!</v>
      </c>
    </row>
    <row r="178" spans="1:2" ht="12.75" customHeight="1">
      <c r="A178" s="133" t="s">
        <v>442</v>
      </c>
      <c r="B178" s="138" t="e">
        <f>t4totpercap</f>
        <v>#REF!</v>
      </c>
    </row>
    <row r="179" spans="1:2" ht="12.75" customHeight="1">
      <c r="A179" s="133" t="s">
        <v>443</v>
      </c>
      <c r="B179" s="135" t="e">
        <f>t4youth1</f>
        <v>#REF!</v>
      </c>
    </row>
    <row r="180" spans="1:2" ht="12.75" customHeight="1">
      <c r="A180" s="133" t="s">
        <v>444</v>
      </c>
      <c r="B180" s="135" t="e">
        <f>t4youth2</f>
        <v>#REF!</v>
      </c>
    </row>
    <row r="181" spans="1:2" ht="12.75" customHeight="1">
      <c r="A181" s="133" t="s">
        <v>445</v>
      </c>
      <c r="B181" s="135" t="e">
        <f>t4youth3</f>
        <v>#REF!</v>
      </c>
    </row>
    <row r="182" spans="1:2" ht="12.75" customHeight="1">
      <c r="A182" s="133" t="s">
        <v>446</v>
      </c>
      <c r="B182" s="135" t="e">
        <f>t4youth4</f>
        <v>#REF!</v>
      </c>
    </row>
    <row r="183" spans="1:2" ht="12.75" customHeight="1">
      <c r="A183" s="133" t="s">
        <v>447</v>
      </c>
      <c r="B183" s="135" t="e">
        <f>t4youth5</f>
        <v>#REF!</v>
      </c>
    </row>
    <row r="184" spans="1:2" ht="12.75" customHeight="1">
      <c r="A184" s="133" t="s">
        <v>448</v>
      </c>
      <c r="B184" s="135" t="e">
        <f>t4youth6</f>
        <v>#REF!</v>
      </c>
    </row>
    <row r="185" spans="1:2" ht="12.75" customHeight="1">
      <c r="A185" s="133" t="s">
        <v>449</v>
      </c>
      <c r="B185" s="133" t="e">
        <f>Numecodet5</f>
        <v>#REF!</v>
      </c>
    </row>
    <row r="186" spans="1:2" ht="12.75" customHeight="1">
      <c r="A186" s="133" t="s">
        <v>450</v>
      </c>
      <c r="B186" s="133" t="e">
        <f>Numealtt5</f>
        <v>#REF!</v>
      </c>
    </row>
    <row r="187" spans="1:2" ht="12.75" customHeight="1">
      <c r="A187" s="133" t="s">
        <v>451</v>
      </c>
      <c r="B187" s="137" t="e">
        <f>t5yobgsal</f>
        <v>#REF!</v>
      </c>
    </row>
    <row r="188" spans="1:2" ht="12.75" customHeight="1">
      <c r="A188" s="133" t="s">
        <v>452</v>
      </c>
      <c r="B188" s="137" t="e">
        <f>t5yobgserv</f>
        <v>#REF!</v>
      </c>
    </row>
    <row r="189" spans="1:2" ht="12.75" customHeight="1">
      <c r="A189" s="133" t="s">
        <v>453</v>
      </c>
      <c r="B189" s="137" t="e">
        <f>t5yobgprof</f>
        <v>#REF!</v>
      </c>
    </row>
    <row r="190" spans="1:2" ht="12.75" customHeight="1">
      <c r="A190" s="133" t="s">
        <v>454</v>
      </c>
      <c r="B190" s="137" t="e">
        <f>t5yobgcbo</f>
        <v>#REF!</v>
      </c>
    </row>
    <row r="191" spans="1:2" ht="12.75" customHeight="1">
      <c r="A191" s="133" t="s">
        <v>455</v>
      </c>
      <c r="B191" s="137" t="e">
        <f>t5yobgequip</f>
        <v>#REF!</v>
      </c>
    </row>
    <row r="192" spans="1:2" ht="12.75" customHeight="1">
      <c r="A192" s="133" t="s">
        <v>456</v>
      </c>
      <c r="B192" s="137" t="e">
        <f>t5yobgadmin</f>
        <v>#REF!</v>
      </c>
    </row>
    <row r="193" spans="1:2" ht="12.75" customHeight="1">
      <c r="A193" s="133" t="s">
        <v>457</v>
      </c>
      <c r="B193" s="137" t="e">
        <f>t5yobgothr1</f>
        <v>#REF!</v>
      </c>
    </row>
    <row r="194" spans="1:2" ht="12.75" customHeight="1">
      <c r="A194" s="133" t="s">
        <v>458</v>
      </c>
      <c r="B194" s="137" t="e">
        <f>t5yobgothr2</f>
        <v>#REF!</v>
      </c>
    </row>
    <row r="195" spans="1:2" ht="12.75" customHeight="1">
      <c r="A195" s="133" t="s">
        <v>459</v>
      </c>
      <c r="B195" s="137" t="e">
        <f>t5yobgothr3</f>
        <v>#REF!</v>
      </c>
    </row>
    <row r="196" spans="1:2" ht="12.75" customHeight="1">
      <c r="A196" s="133" t="s">
        <v>460</v>
      </c>
      <c r="B196" s="137" t="e">
        <f>t5yobgtot</f>
        <v>#REF!</v>
      </c>
    </row>
    <row r="197" spans="1:2" ht="12.75" customHeight="1">
      <c r="A197" s="133" t="s">
        <v>461</v>
      </c>
      <c r="B197" s="137" t="e">
        <f>t5jjcpasal</f>
        <v>#REF!</v>
      </c>
    </row>
    <row r="198" spans="1:2" ht="12.75" customHeight="1">
      <c r="A198" s="133" t="s">
        <v>462</v>
      </c>
      <c r="B198" s="137" t="e">
        <f>t5jjcpaserv</f>
        <v>#REF!</v>
      </c>
    </row>
    <row r="199" spans="1:2" ht="12.75" customHeight="1">
      <c r="A199" s="133" t="s">
        <v>463</v>
      </c>
      <c r="B199" s="137" t="e">
        <f>t5jjcpaprof</f>
        <v>#REF!</v>
      </c>
    </row>
    <row r="200" spans="1:2" ht="12.75" customHeight="1">
      <c r="A200" s="133" t="s">
        <v>464</v>
      </c>
      <c r="B200" s="137" t="e">
        <f>t5jjcpacbo</f>
        <v>#REF!</v>
      </c>
    </row>
    <row r="201" spans="1:2" ht="12.75" customHeight="1">
      <c r="A201" s="133" t="s">
        <v>465</v>
      </c>
      <c r="B201" s="137" t="e">
        <f>t5jjcpaequip</f>
        <v>#REF!</v>
      </c>
    </row>
    <row r="202" spans="1:2" ht="12.75" customHeight="1">
      <c r="A202" s="133" t="s">
        <v>466</v>
      </c>
      <c r="B202" s="137" t="e">
        <f>t5jjcpaadmin</f>
        <v>#REF!</v>
      </c>
    </row>
    <row r="203" spans="1:2" ht="12.75" customHeight="1">
      <c r="A203" s="133" t="s">
        <v>467</v>
      </c>
      <c r="B203" s="137" t="e">
        <f>t5jjcpaothr1</f>
        <v>#REF!</v>
      </c>
    </row>
    <row r="204" spans="1:2" ht="12.75" customHeight="1">
      <c r="A204" s="133" t="s">
        <v>468</v>
      </c>
      <c r="B204" s="137" t="e">
        <f>t5jjcpaothr2</f>
        <v>#REF!</v>
      </c>
    </row>
    <row r="205" spans="1:2" ht="12.75" customHeight="1">
      <c r="A205" s="133" t="s">
        <v>469</v>
      </c>
      <c r="B205" s="137" t="e">
        <f>t5jjcpaothr3</f>
        <v>#REF!</v>
      </c>
    </row>
    <row r="206" spans="1:2" ht="12.75" customHeight="1">
      <c r="A206" s="133" t="s">
        <v>470</v>
      </c>
      <c r="B206" s="137" t="e">
        <f>t5jjcpatot</f>
        <v>#REF!</v>
      </c>
    </row>
    <row r="207" spans="1:2" ht="12.75" customHeight="1">
      <c r="A207" s="133" t="s">
        <v>471</v>
      </c>
      <c r="B207" s="137" t="e">
        <f>t5othersal</f>
        <v>#REF!</v>
      </c>
    </row>
    <row r="208" spans="1:2" ht="12.75" customHeight="1">
      <c r="A208" s="133" t="s">
        <v>472</v>
      </c>
      <c r="B208" s="137" t="e">
        <f>t5otherserv</f>
        <v>#REF!</v>
      </c>
    </row>
    <row r="209" spans="1:2" ht="12.75" customHeight="1">
      <c r="A209" s="133" t="s">
        <v>473</v>
      </c>
      <c r="B209" s="137" t="e">
        <f>t5otherprof</f>
        <v>#REF!</v>
      </c>
    </row>
    <row r="210" spans="1:2" ht="12.75" customHeight="1">
      <c r="A210" s="133" t="s">
        <v>474</v>
      </c>
      <c r="B210" s="137" t="e">
        <f>t5othercbo</f>
        <v>#REF!</v>
      </c>
    </row>
    <row r="211" spans="1:2" ht="12.75" customHeight="1">
      <c r="A211" s="133" t="s">
        <v>475</v>
      </c>
      <c r="B211" s="137" t="e">
        <f>t5otherequip</f>
        <v>#REF!</v>
      </c>
    </row>
    <row r="212" spans="1:2" ht="12.75" customHeight="1">
      <c r="A212" s="133" t="s">
        <v>476</v>
      </c>
      <c r="B212" s="137" t="e">
        <f>t5otheradmin</f>
        <v>#REF!</v>
      </c>
    </row>
    <row r="213" spans="1:2" ht="12.75" customHeight="1">
      <c r="A213" s="133" t="s">
        <v>477</v>
      </c>
      <c r="B213" s="137" t="e">
        <f>t5otherothr1</f>
        <v>#REF!</v>
      </c>
    </row>
    <row r="214" spans="1:2" ht="12.75" customHeight="1">
      <c r="A214" s="133" t="s">
        <v>478</v>
      </c>
      <c r="B214" s="137" t="e">
        <f>t5otherothr2</f>
        <v>#REF!</v>
      </c>
    </row>
    <row r="215" spans="1:2" ht="12.75" customHeight="1">
      <c r="A215" s="133" t="s">
        <v>479</v>
      </c>
      <c r="B215" s="137" t="e">
        <f>t5otherothr3</f>
        <v>#REF!</v>
      </c>
    </row>
    <row r="216" spans="1:2" ht="12.75" customHeight="1">
      <c r="A216" s="133" t="s">
        <v>480</v>
      </c>
      <c r="B216" s="137" t="e">
        <f>t5othertot</f>
        <v>#REF!</v>
      </c>
    </row>
    <row r="217" spans="1:2" ht="12.75" customHeight="1">
      <c r="A217" s="133" t="s">
        <v>481</v>
      </c>
      <c r="B217" s="135" t="e">
        <f>t5casecount</f>
        <v>#REF!</v>
      </c>
    </row>
    <row r="218" spans="1:2" ht="12.75" customHeight="1">
      <c r="A218" s="133" t="s">
        <v>482</v>
      </c>
      <c r="B218" s="138" t="e">
        <f>t5yobgpercap</f>
        <v>#REF!</v>
      </c>
    </row>
    <row r="219" spans="1:2" ht="12.75" customHeight="1">
      <c r="A219" s="133" t="s">
        <v>483</v>
      </c>
      <c r="B219" s="138" t="e">
        <f>t5totpercap</f>
        <v>#REF!</v>
      </c>
    </row>
    <row r="220" spans="1:2" ht="12.75" customHeight="1">
      <c r="A220" s="133" t="s">
        <v>484</v>
      </c>
      <c r="B220" s="135" t="e">
        <f>t5youth1</f>
        <v>#REF!</v>
      </c>
    </row>
    <row r="221" spans="1:2" ht="12.75" customHeight="1">
      <c r="A221" s="133" t="s">
        <v>485</v>
      </c>
      <c r="B221" s="135" t="e">
        <f>t5youth2</f>
        <v>#REF!</v>
      </c>
    </row>
    <row r="222" spans="1:2" ht="12.75" customHeight="1">
      <c r="A222" s="133" t="s">
        <v>486</v>
      </c>
      <c r="B222" s="135" t="e">
        <f>t5youth3</f>
        <v>#REF!</v>
      </c>
    </row>
    <row r="223" spans="1:2" ht="12.75" customHeight="1">
      <c r="A223" s="133" t="s">
        <v>487</v>
      </c>
      <c r="B223" s="135" t="e">
        <f>t5youth4</f>
        <v>#REF!</v>
      </c>
    </row>
    <row r="224" spans="1:2" ht="12.75" customHeight="1">
      <c r="A224" s="133" t="s">
        <v>488</v>
      </c>
      <c r="B224" s="135" t="e">
        <f>t5youth5</f>
        <v>#REF!</v>
      </c>
    </row>
    <row r="225" spans="1:2" ht="12.75" customHeight="1">
      <c r="A225" s="133" t="s">
        <v>489</v>
      </c>
      <c r="B225" s="135"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4296875" defaultRowHeight="15" customHeight="1"/>
  <cols>
    <col min="1" max="1" width="41.453125" customWidth="1"/>
    <col min="2" max="2" width="43.81640625" customWidth="1"/>
    <col min="3" max="26" width="8.81640625" customWidth="1"/>
  </cols>
  <sheetData>
    <row r="1" spans="1:2" ht="12.75" customHeight="1">
      <c r="A1" s="133" t="s">
        <v>265</v>
      </c>
      <c r="B1" s="6" t="str">
        <f>County</f>
        <v>Humboldt</v>
      </c>
    </row>
    <row r="2" spans="1:2" ht="12.75" customHeight="1">
      <c r="A2" s="133" t="s">
        <v>490</v>
      </c>
      <c r="B2" s="133" t="e">
        <f>Numecodet6</f>
        <v>#REF!</v>
      </c>
    </row>
    <row r="3" spans="1:2" ht="12.75" customHeight="1">
      <c r="A3" s="133" t="s">
        <v>491</v>
      </c>
      <c r="B3" s="133" t="e">
        <f>Numealtt6</f>
        <v>#REF!</v>
      </c>
    </row>
    <row r="4" spans="1:2" ht="12.75" customHeight="1">
      <c r="A4" s="133" t="s">
        <v>492</v>
      </c>
      <c r="B4" s="137" t="e">
        <f>t6yobgsal</f>
        <v>#REF!</v>
      </c>
    </row>
    <row r="5" spans="1:2" ht="12.75" customHeight="1">
      <c r="A5" s="133" t="s">
        <v>493</v>
      </c>
      <c r="B5" s="137" t="e">
        <f>t6yobgserv</f>
        <v>#REF!</v>
      </c>
    </row>
    <row r="6" spans="1:2" ht="12.75" customHeight="1">
      <c r="A6" s="133" t="s">
        <v>494</v>
      </c>
      <c r="B6" s="137" t="e">
        <f>t6yobgprof</f>
        <v>#REF!</v>
      </c>
    </row>
    <row r="7" spans="1:2" ht="12.75" customHeight="1">
      <c r="A7" s="133" t="s">
        <v>495</v>
      </c>
      <c r="B7" s="137" t="e">
        <f>t6yobgcbo</f>
        <v>#REF!</v>
      </c>
    </row>
    <row r="8" spans="1:2" ht="12.75" customHeight="1">
      <c r="A8" s="133" t="s">
        <v>496</v>
      </c>
      <c r="B8" s="137" t="e">
        <f>t6yobgequip</f>
        <v>#REF!</v>
      </c>
    </row>
    <row r="9" spans="1:2" ht="12.75" customHeight="1">
      <c r="A9" s="133" t="s">
        <v>497</v>
      </c>
      <c r="B9" s="137" t="e">
        <f>t6yobgadmin</f>
        <v>#REF!</v>
      </c>
    </row>
    <row r="10" spans="1:2" ht="12.75" customHeight="1">
      <c r="A10" s="133" t="s">
        <v>498</v>
      </c>
      <c r="B10" s="137" t="e">
        <f>t6yobgothr1</f>
        <v>#REF!</v>
      </c>
    </row>
    <row r="11" spans="1:2" ht="12.75" customHeight="1">
      <c r="A11" s="133" t="s">
        <v>499</v>
      </c>
      <c r="B11" s="137" t="e">
        <f>t6yobgothr2</f>
        <v>#REF!</v>
      </c>
    </row>
    <row r="12" spans="1:2" ht="12.75" customHeight="1">
      <c r="A12" s="133" t="s">
        <v>500</v>
      </c>
      <c r="B12" s="137" t="e">
        <f>t6yobgothr3</f>
        <v>#REF!</v>
      </c>
    </row>
    <row r="13" spans="1:2" ht="12.75" customHeight="1">
      <c r="A13" s="133" t="s">
        <v>501</v>
      </c>
      <c r="B13" s="137" t="e">
        <f>t6yobgtot</f>
        <v>#REF!</v>
      </c>
    </row>
    <row r="14" spans="1:2" ht="12.75" customHeight="1">
      <c r="A14" s="133" t="s">
        <v>502</v>
      </c>
      <c r="B14" s="137" t="e">
        <f>t6jjcpasal</f>
        <v>#REF!</v>
      </c>
    </row>
    <row r="15" spans="1:2" ht="12.75" customHeight="1">
      <c r="A15" s="133" t="s">
        <v>503</v>
      </c>
      <c r="B15" s="137" t="e">
        <f>t6jjcpaserv</f>
        <v>#REF!</v>
      </c>
    </row>
    <row r="16" spans="1:2" ht="12.75" customHeight="1">
      <c r="A16" s="133" t="s">
        <v>504</v>
      </c>
      <c r="B16" s="137" t="e">
        <f>t6jjcpaprof</f>
        <v>#REF!</v>
      </c>
    </row>
    <row r="17" spans="1:2" ht="12.75" customHeight="1">
      <c r="A17" s="133" t="s">
        <v>505</v>
      </c>
      <c r="B17" s="137" t="e">
        <f>t6jjcpacbo</f>
        <v>#REF!</v>
      </c>
    </row>
    <row r="18" spans="1:2" ht="12.75" customHeight="1">
      <c r="A18" s="133" t="s">
        <v>506</v>
      </c>
      <c r="B18" s="137" t="e">
        <f>t6jjcpaequip</f>
        <v>#REF!</v>
      </c>
    </row>
    <row r="19" spans="1:2" ht="12.75" customHeight="1">
      <c r="A19" s="133" t="s">
        <v>507</v>
      </c>
      <c r="B19" s="137" t="e">
        <f>t6jjcpaadmin</f>
        <v>#REF!</v>
      </c>
    </row>
    <row r="20" spans="1:2" ht="12.75" customHeight="1">
      <c r="A20" s="133" t="s">
        <v>508</v>
      </c>
      <c r="B20" s="137" t="e">
        <f>t6jjcpaothr1</f>
        <v>#REF!</v>
      </c>
    </row>
    <row r="21" spans="1:2" ht="12.75" customHeight="1">
      <c r="A21" s="133" t="s">
        <v>509</v>
      </c>
      <c r="B21" s="137" t="e">
        <f>t6jjcpaothr2</f>
        <v>#REF!</v>
      </c>
    </row>
    <row r="22" spans="1:2" ht="12.75" customHeight="1">
      <c r="A22" s="133" t="s">
        <v>510</v>
      </c>
      <c r="B22" s="137" t="e">
        <f>t6jjcpaothr3</f>
        <v>#REF!</v>
      </c>
    </row>
    <row r="23" spans="1:2" ht="12.75" customHeight="1">
      <c r="A23" s="133" t="s">
        <v>511</v>
      </c>
      <c r="B23" s="137" t="e">
        <f>t6jjcpatot</f>
        <v>#REF!</v>
      </c>
    </row>
    <row r="24" spans="1:2" ht="12.75" customHeight="1">
      <c r="A24" s="133" t="s">
        <v>512</v>
      </c>
      <c r="B24" s="137" t="e">
        <f>t6othersal</f>
        <v>#REF!</v>
      </c>
    </row>
    <row r="25" spans="1:2" ht="12.75" customHeight="1">
      <c r="A25" s="133" t="s">
        <v>513</v>
      </c>
      <c r="B25" s="137" t="e">
        <f>t6otherserv</f>
        <v>#REF!</v>
      </c>
    </row>
    <row r="26" spans="1:2" ht="12.75" customHeight="1">
      <c r="A26" s="133" t="s">
        <v>514</v>
      </c>
      <c r="B26" s="137" t="e">
        <f>t6otherprof</f>
        <v>#REF!</v>
      </c>
    </row>
    <row r="27" spans="1:2" ht="12.75" customHeight="1">
      <c r="A27" s="133" t="s">
        <v>515</v>
      </c>
      <c r="B27" s="137" t="e">
        <f>t6othercbo</f>
        <v>#REF!</v>
      </c>
    </row>
    <row r="28" spans="1:2" ht="12.75" customHeight="1">
      <c r="A28" s="133" t="s">
        <v>516</v>
      </c>
      <c r="B28" s="137" t="e">
        <f>t6otherequip</f>
        <v>#REF!</v>
      </c>
    </row>
    <row r="29" spans="1:2" ht="12.75" customHeight="1">
      <c r="A29" s="133" t="s">
        <v>517</v>
      </c>
      <c r="B29" s="137" t="e">
        <f>t6otheradmin</f>
        <v>#REF!</v>
      </c>
    </row>
    <row r="30" spans="1:2" ht="12.75" customHeight="1">
      <c r="A30" s="133" t="s">
        <v>518</v>
      </c>
      <c r="B30" s="137" t="e">
        <f>t6otherothr1</f>
        <v>#REF!</v>
      </c>
    </row>
    <row r="31" spans="1:2" ht="12.75" customHeight="1">
      <c r="A31" s="133" t="s">
        <v>519</v>
      </c>
      <c r="B31" s="137" t="e">
        <f>t6otherothr2</f>
        <v>#REF!</v>
      </c>
    </row>
    <row r="32" spans="1:2" ht="12.75" customHeight="1">
      <c r="A32" s="133" t="s">
        <v>520</v>
      </c>
      <c r="B32" s="137" t="e">
        <f>t6otherothr3</f>
        <v>#REF!</v>
      </c>
    </row>
    <row r="33" spans="1:2" ht="12.75" customHeight="1">
      <c r="A33" s="133" t="s">
        <v>521</v>
      </c>
      <c r="B33" s="137" t="e">
        <f>t6othertot</f>
        <v>#REF!</v>
      </c>
    </row>
    <row r="34" spans="1:2" ht="12.75" customHeight="1">
      <c r="A34" s="133" t="s">
        <v>522</v>
      </c>
      <c r="B34" s="135" t="e">
        <f>t6casecount</f>
        <v>#REF!</v>
      </c>
    </row>
    <row r="35" spans="1:2" ht="12.75" customHeight="1">
      <c r="A35" s="133" t="s">
        <v>523</v>
      </c>
      <c r="B35" s="138" t="e">
        <f>t6yobgpercap</f>
        <v>#REF!</v>
      </c>
    </row>
    <row r="36" spans="1:2" ht="12.75" customHeight="1">
      <c r="A36" s="133" t="s">
        <v>524</v>
      </c>
      <c r="B36" s="138" t="e">
        <f>t6totpercap</f>
        <v>#REF!</v>
      </c>
    </row>
    <row r="37" spans="1:2" ht="12.75" customHeight="1">
      <c r="A37" s="133" t="s">
        <v>525</v>
      </c>
      <c r="B37" s="135" t="e">
        <f>t6youth1</f>
        <v>#REF!</v>
      </c>
    </row>
    <row r="38" spans="1:2" ht="12.75" customHeight="1">
      <c r="A38" s="133" t="s">
        <v>526</v>
      </c>
      <c r="B38" s="135" t="e">
        <f>t6youth2</f>
        <v>#REF!</v>
      </c>
    </row>
    <row r="39" spans="1:2" ht="12.75" customHeight="1">
      <c r="A39" s="133" t="s">
        <v>527</v>
      </c>
      <c r="B39" s="135" t="e">
        <f>t6youth3</f>
        <v>#REF!</v>
      </c>
    </row>
    <row r="40" spans="1:2" ht="12.75" customHeight="1">
      <c r="A40" s="133" t="s">
        <v>528</v>
      </c>
      <c r="B40" s="135" t="e">
        <f>t6youth4</f>
        <v>#REF!</v>
      </c>
    </row>
    <row r="41" spans="1:2" ht="12.75" customHeight="1">
      <c r="A41" s="133" t="s">
        <v>529</v>
      </c>
      <c r="B41" s="135" t="e">
        <f>t6youth5</f>
        <v>#REF!</v>
      </c>
    </row>
    <row r="42" spans="1:2" ht="12.75" customHeight="1">
      <c r="A42" s="133" t="s">
        <v>530</v>
      </c>
      <c r="B42" s="135" t="e">
        <f>t6youth6</f>
        <v>#REF!</v>
      </c>
    </row>
    <row r="43" spans="1:2" ht="12.75" customHeight="1">
      <c r="A43" s="133" t="s">
        <v>531</v>
      </c>
      <c r="B43" s="133" t="e">
        <f>Numecodet7</f>
        <v>#REF!</v>
      </c>
    </row>
    <row r="44" spans="1:2" ht="12.75" customHeight="1">
      <c r="A44" s="133" t="s">
        <v>532</v>
      </c>
      <c r="B44" s="133" t="e">
        <f>Numealtt7</f>
        <v>#REF!</v>
      </c>
    </row>
    <row r="45" spans="1:2" ht="12.75" customHeight="1">
      <c r="A45" s="133" t="s">
        <v>533</v>
      </c>
      <c r="B45" s="137" t="e">
        <f>t7yobgsal</f>
        <v>#REF!</v>
      </c>
    </row>
    <row r="46" spans="1:2" ht="12.75" customHeight="1">
      <c r="A46" s="133" t="s">
        <v>534</v>
      </c>
      <c r="B46" s="137" t="e">
        <f>t7yobgserv</f>
        <v>#REF!</v>
      </c>
    </row>
    <row r="47" spans="1:2" ht="12.75" customHeight="1">
      <c r="A47" s="133" t="s">
        <v>535</v>
      </c>
      <c r="B47" s="137" t="e">
        <f>t7yobgprof</f>
        <v>#REF!</v>
      </c>
    </row>
    <row r="48" spans="1:2" ht="12.75" customHeight="1">
      <c r="A48" s="133" t="s">
        <v>536</v>
      </c>
      <c r="B48" s="137" t="e">
        <f>t7yobgcbo</f>
        <v>#REF!</v>
      </c>
    </row>
    <row r="49" spans="1:2" ht="12.75" customHeight="1">
      <c r="A49" s="133" t="s">
        <v>537</v>
      </c>
      <c r="B49" s="137" t="e">
        <f>t7yobgequip</f>
        <v>#REF!</v>
      </c>
    </row>
    <row r="50" spans="1:2" ht="12.75" customHeight="1">
      <c r="A50" s="133" t="s">
        <v>538</v>
      </c>
      <c r="B50" s="137" t="e">
        <f>t7yobgadmin</f>
        <v>#REF!</v>
      </c>
    </row>
    <row r="51" spans="1:2" ht="12.75" customHeight="1">
      <c r="A51" s="133" t="s">
        <v>539</v>
      </c>
      <c r="B51" s="137" t="e">
        <f>t7yobgothr1</f>
        <v>#REF!</v>
      </c>
    </row>
    <row r="52" spans="1:2" ht="12.75" customHeight="1">
      <c r="A52" s="133" t="s">
        <v>540</v>
      </c>
      <c r="B52" s="137" t="e">
        <f>t7yobgothr2</f>
        <v>#REF!</v>
      </c>
    </row>
    <row r="53" spans="1:2" ht="12.75" customHeight="1">
      <c r="A53" s="133" t="s">
        <v>541</v>
      </c>
      <c r="B53" s="137" t="e">
        <f>t7yobgothr3</f>
        <v>#REF!</v>
      </c>
    </row>
    <row r="54" spans="1:2" ht="12.75" customHeight="1">
      <c r="A54" s="133" t="s">
        <v>542</v>
      </c>
      <c r="B54" s="137" t="e">
        <f>t7yobgtot</f>
        <v>#REF!</v>
      </c>
    </row>
    <row r="55" spans="1:2" ht="12.75" customHeight="1">
      <c r="A55" s="133" t="s">
        <v>543</v>
      </c>
      <c r="B55" s="137" t="e">
        <f>t7jjcpasal</f>
        <v>#REF!</v>
      </c>
    </row>
    <row r="56" spans="1:2" ht="12.75" customHeight="1">
      <c r="A56" s="133" t="s">
        <v>544</v>
      </c>
      <c r="B56" s="137" t="e">
        <f>t7jjcpaserv</f>
        <v>#REF!</v>
      </c>
    </row>
    <row r="57" spans="1:2" ht="12.75" customHeight="1">
      <c r="A57" s="133" t="s">
        <v>545</v>
      </c>
      <c r="B57" s="137" t="e">
        <f>t7jjcpaprof</f>
        <v>#REF!</v>
      </c>
    </row>
    <row r="58" spans="1:2" ht="12.75" customHeight="1">
      <c r="A58" s="133" t="s">
        <v>546</v>
      </c>
      <c r="B58" s="137" t="e">
        <f>t7jjcpacbo</f>
        <v>#REF!</v>
      </c>
    </row>
    <row r="59" spans="1:2" ht="12.75" customHeight="1">
      <c r="A59" s="133" t="s">
        <v>547</v>
      </c>
      <c r="B59" s="137" t="e">
        <f>t7jjcpaequip</f>
        <v>#REF!</v>
      </c>
    </row>
    <row r="60" spans="1:2" ht="12.75" customHeight="1">
      <c r="A60" s="133" t="s">
        <v>548</v>
      </c>
      <c r="B60" s="137" t="e">
        <f>t7jjcpaadmin</f>
        <v>#REF!</v>
      </c>
    </row>
    <row r="61" spans="1:2" ht="12.75" customHeight="1">
      <c r="A61" s="133" t="s">
        <v>549</v>
      </c>
      <c r="B61" s="137" t="e">
        <f>t7jjcpaothr1</f>
        <v>#REF!</v>
      </c>
    </row>
    <row r="62" spans="1:2" ht="12.75" customHeight="1">
      <c r="A62" s="133" t="s">
        <v>550</v>
      </c>
      <c r="B62" s="137" t="e">
        <f>t7jjcpaothr2</f>
        <v>#REF!</v>
      </c>
    </row>
    <row r="63" spans="1:2" ht="12.75" customHeight="1">
      <c r="A63" s="133" t="s">
        <v>551</v>
      </c>
      <c r="B63" s="137" t="e">
        <f>t7jjcpaothr3</f>
        <v>#REF!</v>
      </c>
    </row>
    <row r="64" spans="1:2" ht="12.75" customHeight="1">
      <c r="A64" s="133" t="s">
        <v>552</v>
      </c>
      <c r="B64" s="137" t="e">
        <f>t7jjcpatot</f>
        <v>#REF!</v>
      </c>
    </row>
    <row r="65" spans="1:2" ht="12.75" customHeight="1">
      <c r="A65" s="133" t="s">
        <v>553</v>
      </c>
      <c r="B65" s="137" t="e">
        <f>t7othersal</f>
        <v>#REF!</v>
      </c>
    </row>
    <row r="66" spans="1:2" ht="12.75" customHeight="1">
      <c r="A66" s="133" t="s">
        <v>554</v>
      </c>
      <c r="B66" s="137" t="e">
        <f>t7otherserv</f>
        <v>#REF!</v>
      </c>
    </row>
    <row r="67" spans="1:2" ht="12.75" customHeight="1">
      <c r="A67" s="133" t="s">
        <v>555</v>
      </c>
      <c r="B67" s="137" t="e">
        <f>t7otherprof</f>
        <v>#REF!</v>
      </c>
    </row>
    <row r="68" spans="1:2" ht="12.75" customHeight="1">
      <c r="A68" s="133" t="s">
        <v>556</v>
      </c>
      <c r="B68" s="137" t="e">
        <f>t7othercbo</f>
        <v>#REF!</v>
      </c>
    </row>
    <row r="69" spans="1:2" ht="12.75" customHeight="1">
      <c r="A69" s="133" t="s">
        <v>557</v>
      </c>
      <c r="B69" s="137" t="e">
        <f>t7otherequip</f>
        <v>#REF!</v>
      </c>
    </row>
    <row r="70" spans="1:2" ht="12.75" customHeight="1">
      <c r="A70" s="133" t="s">
        <v>558</v>
      </c>
      <c r="B70" s="137" t="e">
        <f>t7otheradmin</f>
        <v>#REF!</v>
      </c>
    </row>
    <row r="71" spans="1:2" ht="12.75" customHeight="1">
      <c r="A71" s="133" t="s">
        <v>559</v>
      </c>
      <c r="B71" s="137" t="e">
        <f>t7otherothr1</f>
        <v>#REF!</v>
      </c>
    </row>
    <row r="72" spans="1:2" ht="12.75" customHeight="1">
      <c r="A72" s="133" t="s">
        <v>560</v>
      </c>
      <c r="B72" s="137" t="e">
        <f>t7otherothr2</f>
        <v>#REF!</v>
      </c>
    </row>
    <row r="73" spans="1:2" ht="12.75" customHeight="1">
      <c r="A73" s="133" t="s">
        <v>561</v>
      </c>
      <c r="B73" s="137" t="e">
        <f>t7otherothr3</f>
        <v>#REF!</v>
      </c>
    </row>
    <row r="74" spans="1:2" ht="12.75" customHeight="1">
      <c r="A74" s="133" t="s">
        <v>562</v>
      </c>
      <c r="B74" s="137" t="e">
        <f>t7othertot</f>
        <v>#REF!</v>
      </c>
    </row>
    <row r="75" spans="1:2" ht="12.75" customHeight="1">
      <c r="A75" s="133" t="s">
        <v>563</v>
      </c>
      <c r="B75" s="135" t="e">
        <f>t7casecount</f>
        <v>#REF!</v>
      </c>
    </row>
    <row r="76" spans="1:2" ht="12.75" customHeight="1">
      <c r="A76" s="133" t="s">
        <v>564</v>
      </c>
      <c r="B76" s="138" t="e">
        <f>t7yobgpercap</f>
        <v>#REF!</v>
      </c>
    </row>
    <row r="77" spans="1:2" ht="12.75" customHeight="1">
      <c r="A77" s="133" t="s">
        <v>565</v>
      </c>
      <c r="B77" s="138" t="e">
        <f>t7totpercap</f>
        <v>#REF!</v>
      </c>
    </row>
    <row r="78" spans="1:2" ht="12.75" customHeight="1">
      <c r="A78" s="133" t="s">
        <v>566</v>
      </c>
      <c r="B78" s="135" t="e">
        <f>t7youth1</f>
        <v>#REF!</v>
      </c>
    </row>
    <row r="79" spans="1:2" ht="12.75" customHeight="1">
      <c r="A79" s="133" t="s">
        <v>567</v>
      </c>
      <c r="B79" s="135" t="e">
        <f>t7youth2</f>
        <v>#REF!</v>
      </c>
    </row>
    <row r="80" spans="1:2" ht="12.75" customHeight="1">
      <c r="A80" s="133" t="s">
        <v>568</v>
      </c>
      <c r="B80" s="135" t="e">
        <f>t7youth3</f>
        <v>#REF!</v>
      </c>
    </row>
    <row r="81" spans="1:2" ht="12.75" customHeight="1">
      <c r="A81" s="133" t="s">
        <v>569</v>
      </c>
      <c r="B81" s="135" t="e">
        <f>t7youth4</f>
        <v>#REF!</v>
      </c>
    </row>
    <row r="82" spans="1:2" ht="12.75" customHeight="1">
      <c r="A82" s="133" t="s">
        <v>570</v>
      </c>
      <c r="B82" s="135" t="e">
        <f>t7youth5</f>
        <v>#REF!</v>
      </c>
    </row>
    <row r="83" spans="1:2" ht="12.75" customHeight="1">
      <c r="A83" s="133" t="s">
        <v>571</v>
      </c>
      <c r="B83" s="135" t="e">
        <f>t7youth6</f>
        <v>#REF!</v>
      </c>
    </row>
    <row r="84" spans="1:2" ht="12.75" customHeight="1">
      <c r="A84" s="133" t="s">
        <v>572</v>
      </c>
      <c r="B84" s="133" t="e">
        <f>Numecodet8</f>
        <v>#REF!</v>
      </c>
    </row>
    <row r="85" spans="1:2" ht="12.75" customHeight="1">
      <c r="A85" s="133" t="s">
        <v>573</v>
      </c>
      <c r="B85" s="133" t="e">
        <f>Numealtt8</f>
        <v>#REF!</v>
      </c>
    </row>
    <row r="86" spans="1:2" ht="12.75" customHeight="1">
      <c r="A86" s="133" t="s">
        <v>574</v>
      </c>
      <c r="B86" s="137" t="e">
        <f>t8yobgsal</f>
        <v>#REF!</v>
      </c>
    </row>
    <row r="87" spans="1:2" ht="12.75" customHeight="1">
      <c r="A87" s="133" t="s">
        <v>575</v>
      </c>
      <c r="B87" s="137" t="e">
        <f>t8yobgserv</f>
        <v>#REF!</v>
      </c>
    </row>
    <row r="88" spans="1:2" ht="12.75" customHeight="1">
      <c r="A88" s="133" t="s">
        <v>576</v>
      </c>
      <c r="B88" s="137" t="e">
        <f>t8yobgprof</f>
        <v>#REF!</v>
      </c>
    </row>
    <row r="89" spans="1:2" ht="12.75" customHeight="1">
      <c r="A89" s="133" t="s">
        <v>577</v>
      </c>
      <c r="B89" s="137" t="e">
        <f>t8yobgcbo</f>
        <v>#REF!</v>
      </c>
    </row>
    <row r="90" spans="1:2" ht="12.75" customHeight="1">
      <c r="A90" s="133" t="s">
        <v>578</v>
      </c>
      <c r="B90" s="137" t="e">
        <f>t8yobgequip</f>
        <v>#REF!</v>
      </c>
    </row>
    <row r="91" spans="1:2" ht="12.75" customHeight="1">
      <c r="A91" s="133" t="s">
        <v>579</v>
      </c>
      <c r="B91" s="137" t="e">
        <f>t8yobgadmin</f>
        <v>#REF!</v>
      </c>
    </row>
    <row r="92" spans="1:2" ht="12.75" customHeight="1">
      <c r="A92" s="133" t="s">
        <v>580</v>
      </c>
      <c r="B92" s="137" t="e">
        <f>t8yobgothr1</f>
        <v>#REF!</v>
      </c>
    </row>
    <row r="93" spans="1:2" ht="12.75" customHeight="1">
      <c r="A93" s="133" t="s">
        <v>581</v>
      </c>
      <c r="B93" s="137" t="e">
        <f>t8yobgothr2</f>
        <v>#REF!</v>
      </c>
    </row>
    <row r="94" spans="1:2" ht="12.75" customHeight="1">
      <c r="A94" s="133" t="s">
        <v>582</v>
      </c>
      <c r="B94" s="137" t="e">
        <f>t8yobgothr3</f>
        <v>#REF!</v>
      </c>
    </row>
    <row r="95" spans="1:2" ht="12.75" customHeight="1">
      <c r="A95" s="133" t="s">
        <v>583</v>
      </c>
      <c r="B95" s="137" t="e">
        <f>t8yobgtot</f>
        <v>#REF!</v>
      </c>
    </row>
    <row r="96" spans="1:2" ht="12.75" customHeight="1">
      <c r="A96" s="133" t="s">
        <v>584</v>
      </c>
      <c r="B96" s="137" t="e">
        <f>t8jjcpasal</f>
        <v>#REF!</v>
      </c>
    </row>
    <row r="97" spans="1:2" ht="12.75" customHeight="1">
      <c r="A97" s="133" t="s">
        <v>585</v>
      </c>
      <c r="B97" s="137" t="e">
        <f>t8jjcpaserv</f>
        <v>#REF!</v>
      </c>
    </row>
    <row r="98" spans="1:2" ht="12.75" customHeight="1">
      <c r="A98" s="133" t="s">
        <v>586</v>
      </c>
      <c r="B98" s="137" t="e">
        <f>t8jjcpaprof</f>
        <v>#REF!</v>
      </c>
    </row>
    <row r="99" spans="1:2" ht="12.75" customHeight="1">
      <c r="A99" s="133" t="s">
        <v>587</v>
      </c>
      <c r="B99" s="137" t="e">
        <f>t8jjcpacbo</f>
        <v>#REF!</v>
      </c>
    </row>
    <row r="100" spans="1:2" ht="12.75" customHeight="1">
      <c r="A100" s="133" t="s">
        <v>588</v>
      </c>
      <c r="B100" s="137" t="e">
        <f>t8jjcpaequip</f>
        <v>#REF!</v>
      </c>
    </row>
    <row r="101" spans="1:2" ht="12.75" customHeight="1">
      <c r="A101" s="133" t="s">
        <v>589</v>
      </c>
      <c r="B101" s="137" t="e">
        <f>t8jjcpaadmin</f>
        <v>#REF!</v>
      </c>
    </row>
    <row r="102" spans="1:2" ht="12.75" customHeight="1">
      <c r="A102" s="133" t="s">
        <v>590</v>
      </c>
      <c r="B102" s="137" t="e">
        <f>t8jjcpaothr1</f>
        <v>#REF!</v>
      </c>
    </row>
    <row r="103" spans="1:2" ht="12.75" customHeight="1">
      <c r="A103" s="133" t="s">
        <v>591</v>
      </c>
      <c r="B103" s="137" t="e">
        <f>t8jjcpaothr2</f>
        <v>#REF!</v>
      </c>
    </row>
    <row r="104" spans="1:2" ht="12.75" customHeight="1">
      <c r="A104" s="133" t="s">
        <v>592</v>
      </c>
      <c r="B104" s="137" t="e">
        <f>t8jjcpaothr3</f>
        <v>#REF!</v>
      </c>
    </row>
    <row r="105" spans="1:2" ht="12.75" customHeight="1">
      <c r="A105" s="133" t="s">
        <v>593</v>
      </c>
      <c r="B105" s="137" t="e">
        <f>t8jjcpatot</f>
        <v>#REF!</v>
      </c>
    </row>
    <row r="106" spans="1:2" ht="12.75" customHeight="1">
      <c r="A106" s="133" t="s">
        <v>594</v>
      </c>
      <c r="B106" s="137" t="e">
        <f>t8othersal</f>
        <v>#REF!</v>
      </c>
    </row>
    <row r="107" spans="1:2" ht="12.75" customHeight="1">
      <c r="A107" s="133" t="s">
        <v>595</v>
      </c>
      <c r="B107" s="137" t="e">
        <f>t8otherserv</f>
        <v>#REF!</v>
      </c>
    </row>
    <row r="108" spans="1:2" ht="12.75" customHeight="1">
      <c r="A108" s="133" t="s">
        <v>596</v>
      </c>
      <c r="B108" s="137" t="e">
        <f>t8otherprof</f>
        <v>#REF!</v>
      </c>
    </row>
    <row r="109" spans="1:2" ht="12.75" customHeight="1">
      <c r="A109" s="133" t="s">
        <v>597</v>
      </c>
      <c r="B109" s="137" t="e">
        <f>t8othercbo</f>
        <v>#REF!</v>
      </c>
    </row>
    <row r="110" spans="1:2" ht="12.75" customHeight="1">
      <c r="A110" s="133" t="s">
        <v>598</v>
      </c>
      <c r="B110" s="137" t="e">
        <f>t8otherequip</f>
        <v>#REF!</v>
      </c>
    </row>
    <row r="111" spans="1:2" ht="12.75" customHeight="1">
      <c r="A111" s="133" t="s">
        <v>599</v>
      </c>
      <c r="B111" s="137" t="e">
        <f>t8otheradmin</f>
        <v>#REF!</v>
      </c>
    </row>
    <row r="112" spans="1:2" ht="12.75" customHeight="1">
      <c r="A112" s="133" t="s">
        <v>600</v>
      </c>
      <c r="B112" s="137" t="e">
        <f>t8otherothr1</f>
        <v>#REF!</v>
      </c>
    </row>
    <row r="113" spans="1:2" ht="12.75" customHeight="1">
      <c r="A113" s="133" t="s">
        <v>601</v>
      </c>
      <c r="B113" s="137" t="e">
        <f>t8otherothr2</f>
        <v>#REF!</v>
      </c>
    </row>
    <row r="114" spans="1:2" ht="12.75" customHeight="1">
      <c r="A114" s="133" t="s">
        <v>602</v>
      </c>
      <c r="B114" s="137" t="e">
        <f>t8otherothr3</f>
        <v>#REF!</v>
      </c>
    </row>
    <row r="115" spans="1:2" ht="12.75" customHeight="1">
      <c r="A115" s="133" t="s">
        <v>603</v>
      </c>
      <c r="B115" s="137" t="e">
        <f>t8othertot</f>
        <v>#REF!</v>
      </c>
    </row>
    <row r="116" spans="1:2" ht="12.75" customHeight="1">
      <c r="A116" s="133" t="s">
        <v>604</v>
      </c>
      <c r="B116" s="135" t="e">
        <f>t8casecount</f>
        <v>#REF!</v>
      </c>
    </row>
    <row r="117" spans="1:2" ht="12.75" customHeight="1">
      <c r="A117" s="133" t="s">
        <v>605</v>
      </c>
      <c r="B117" s="138" t="e">
        <f>t8yobgpercap</f>
        <v>#REF!</v>
      </c>
    </row>
    <row r="118" spans="1:2" ht="12.75" customHeight="1">
      <c r="A118" s="133" t="s">
        <v>606</v>
      </c>
      <c r="B118" s="138" t="e">
        <f>t8totpercap</f>
        <v>#REF!</v>
      </c>
    </row>
    <row r="119" spans="1:2" ht="12.75" customHeight="1">
      <c r="A119" s="133" t="s">
        <v>607</v>
      </c>
      <c r="B119" s="135" t="e">
        <f>t8youth1</f>
        <v>#REF!</v>
      </c>
    </row>
    <row r="120" spans="1:2" ht="12.75" customHeight="1">
      <c r="A120" s="133" t="s">
        <v>608</v>
      </c>
      <c r="B120" s="135" t="e">
        <f>t8youth2</f>
        <v>#REF!</v>
      </c>
    </row>
    <row r="121" spans="1:2" ht="12.75" customHeight="1">
      <c r="A121" s="133" t="s">
        <v>609</v>
      </c>
      <c r="B121" s="135" t="e">
        <f>t8youth3</f>
        <v>#REF!</v>
      </c>
    </row>
    <row r="122" spans="1:2" ht="12.75" customHeight="1">
      <c r="A122" s="133" t="s">
        <v>610</v>
      </c>
      <c r="B122" s="135" t="e">
        <f>t8youth4</f>
        <v>#REF!</v>
      </c>
    </row>
    <row r="123" spans="1:2" ht="12.75" customHeight="1">
      <c r="A123" s="133" t="s">
        <v>611</v>
      </c>
      <c r="B123" s="135" t="e">
        <f>t8youth5</f>
        <v>#REF!</v>
      </c>
    </row>
    <row r="124" spans="1:2" ht="12.75" customHeight="1">
      <c r="A124" s="133" t="s">
        <v>612</v>
      </c>
      <c r="B124" s="135" t="e">
        <f>t8youth6</f>
        <v>#REF!</v>
      </c>
    </row>
    <row r="125" spans="1:2" ht="12.75" customHeight="1">
      <c r="A125" s="133" t="s">
        <v>613</v>
      </c>
      <c r="B125" s="133" t="e">
        <f>Numecodet9</f>
        <v>#REF!</v>
      </c>
    </row>
    <row r="126" spans="1:2" ht="12.75" customHeight="1">
      <c r="A126" s="133" t="s">
        <v>614</v>
      </c>
      <c r="B126" s="133" t="e">
        <f>Numealtt9</f>
        <v>#REF!</v>
      </c>
    </row>
    <row r="127" spans="1:2" ht="12.75" customHeight="1">
      <c r="A127" s="133" t="s">
        <v>615</v>
      </c>
      <c r="B127" s="137" t="e">
        <f>t9yobgsal</f>
        <v>#REF!</v>
      </c>
    </row>
    <row r="128" spans="1:2" ht="12.75" customHeight="1">
      <c r="A128" s="133" t="s">
        <v>616</v>
      </c>
      <c r="B128" s="137" t="e">
        <f>t9yobgserv</f>
        <v>#REF!</v>
      </c>
    </row>
    <row r="129" spans="1:2" ht="12.75" customHeight="1">
      <c r="A129" s="133" t="s">
        <v>617</v>
      </c>
      <c r="B129" s="137" t="e">
        <f>t9yobgprof</f>
        <v>#REF!</v>
      </c>
    </row>
    <row r="130" spans="1:2" ht="12.75" customHeight="1">
      <c r="A130" s="133" t="s">
        <v>618</v>
      </c>
      <c r="B130" s="137" t="e">
        <f>t9yobgcbo</f>
        <v>#REF!</v>
      </c>
    </row>
    <row r="131" spans="1:2" ht="12.75" customHeight="1">
      <c r="A131" s="133" t="s">
        <v>619</v>
      </c>
      <c r="B131" s="137" t="e">
        <f>t9yobgequip</f>
        <v>#REF!</v>
      </c>
    </row>
    <row r="132" spans="1:2" ht="12.75" customHeight="1">
      <c r="A132" s="133" t="s">
        <v>620</v>
      </c>
      <c r="B132" s="137" t="e">
        <f>t9yobgadmin</f>
        <v>#REF!</v>
      </c>
    </row>
    <row r="133" spans="1:2" ht="12.75" customHeight="1">
      <c r="A133" s="133" t="s">
        <v>621</v>
      </c>
      <c r="B133" s="137" t="e">
        <f>t9yobgothr1</f>
        <v>#REF!</v>
      </c>
    </row>
    <row r="134" spans="1:2" ht="12.75" customHeight="1">
      <c r="A134" s="133" t="s">
        <v>622</v>
      </c>
      <c r="B134" s="137" t="e">
        <f>t9yobgothr2</f>
        <v>#REF!</v>
      </c>
    </row>
    <row r="135" spans="1:2" ht="12.75" customHeight="1">
      <c r="A135" s="133" t="s">
        <v>623</v>
      </c>
      <c r="B135" s="137" t="e">
        <f>t9yobgothr3</f>
        <v>#REF!</v>
      </c>
    </row>
    <row r="136" spans="1:2" ht="12.75" customHeight="1">
      <c r="A136" s="133" t="s">
        <v>624</v>
      </c>
      <c r="B136" s="137" t="e">
        <f>t9yobgtot</f>
        <v>#REF!</v>
      </c>
    </row>
    <row r="137" spans="1:2" ht="12.75" customHeight="1">
      <c r="A137" s="133" t="s">
        <v>625</v>
      </c>
      <c r="B137" s="137" t="e">
        <f>t9jjcpasal</f>
        <v>#REF!</v>
      </c>
    </row>
    <row r="138" spans="1:2" ht="12.75" customHeight="1">
      <c r="A138" s="133" t="s">
        <v>626</v>
      </c>
      <c r="B138" s="137" t="e">
        <f>t9jjcpaserv</f>
        <v>#REF!</v>
      </c>
    </row>
    <row r="139" spans="1:2" ht="12.75" customHeight="1">
      <c r="A139" s="133" t="s">
        <v>627</v>
      </c>
      <c r="B139" s="137" t="e">
        <f>t9jjcpaprof</f>
        <v>#REF!</v>
      </c>
    </row>
    <row r="140" spans="1:2" ht="12.75" customHeight="1">
      <c r="A140" s="133" t="s">
        <v>628</v>
      </c>
      <c r="B140" s="137" t="e">
        <f>t9jjcpacbo</f>
        <v>#REF!</v>
      </c>
    </row>
    <row r="141" spans="1:2" ht="12.75" customHeight="1">
      <c r="A141" s="133" t="s">
        <v>629</v>
      </c>
      <c r="B141" s="137" t="e">
        <f>t9jjcpaequip</f>
        <v>#REF!</v>
      </c>
    </row>
    <row r="142" spans="1:2" ht="12.75" customHeight="1">
      <c r="A142" s="133" t="s">
        <v>630</v>
      </c>
      <c r="B142" s="137" t="e">
        <f>t9jjcpaadmin</f>
        <v>#REF!</v>
      </c>
    </row>
    <row r="143" spans="1:2" ht="12.75" customHeight="1">
      <c r="A143" s="133" t="s">
        <v>631</v>
      </c>
      <c r="B143" s="137" t="e">
        <f>t9jjcpaothr1</f>
        <v>#REF!</v>
      </c>
    </row>
    <row r="144" spans="1:2" ht="12.75" customHeight="1">
      <c r="A144" s="133" t="s">
        <v>632</v>
      </c>
      <c r="B144" s="137" t="e">
        <f>t9jjcpaothr2</f>
        <v>#REF!</v>
      </c>
    </row>
    <row r="145" spans="1:2" ht="12.75" customHeight="1">
      <c r="A145" s="133" t="s">
        <v>633</v>
      </c>
      <c r="B145" s="137" t="e">
        <f>t9jjcpaothr3</f>
        <v>#REF!</v>
      </c>
    </row>
    <row r="146" spans="1:2" ht="12.75" customHeight="1">
      <c r="A146" s="133" t="s">
        <v>634</v>
      </c>
      <c r="B146" s="137" t="e">
        <f>t9jjcpatot</f>
        <v>#REF!</v>
      </c>
    </row>
    <row r="147" spans="1:2" ht="12.75" customHeight="1">
      <c r="A147" s="133" t="s">
        <v>635</v>
      </c>
      <c r="B147" s="137" t="e">
        <f>t9othersal</f>
        <v>#REF!</v>
      </c>
    </row>
    <row r="148" spans="1:2" ht="12.75" customHeight="1">
      <c r="A148" s="133" t="s">
        <v>636</v>
      </c>
      <c r="B148" s="137" t="e">
        <f>t9otherserv</f>
        <v>#REF!</v>
      </c>
    </row>
    <row r="149" spans="1:2" ht="12.75" customHeight="1">
      <c r="A149" s="133" t="s">
        <v>637</v>
      </c>
      <c r="B149" s="137" t="e">
        <f>t9otherprof</f>
        <v>#REF!</v>
      </c>
    </row>
    <row r="150" spans="1:2" ht="12.75" customHeight="1">
      <c r="A150" s="133" t="s">
        <v>638</v>
      </c>
      <c r="B150" s="137" t="e">
        <f>t9othercbo</f>
        <v>#REF!</v>
      </c>
    </row>
    <row r="151" spans="1:2" ht="12.75" customHeight="1">
      <c r="A151" s="133" t="s">
        <v>639</v>
      </c>
      <c r="B151" s="137" t="e">
        <f>t9otherequip</f>
        <v>#REF!</v>
      </c>
    </row>
    <row r="152" spans="1:2" ht="12.75" customHeight="1">
      <c r="A152" s="133" t="s">
        <v>640</v>
      </c>
      <c r="B152" s="137" t="e">
        <f>t9otheradmin</f>
        <v>#REF!</v>
      </c>
    </row>
    <row r="153" spans="1:2" ht="12.75" customHeight="1">
      <c r="A153" s="133" t="s">
        <v>641</v>
      </c>
      <c r="B153" s="137" t="e">
        <f>t9otherothr1</f>
        <v>#REF!</v>
      </c>
    </row>
    <row r="154" spans="1:2" ht="12.75" customHeight="1">
      <c r="A154" s="133" t="s">
        <v>642</v>
      </c>
      <c r="B154" s="137" t="e">
        <f>t9otherothr2</f>
        <v>#REF!</v>
      </c>
    </row>
    <row r="155" spans="1:2" ht="12.75" customHeight="1">
      <c r="A155" s="133" t="s">
        <v>643</v>
      </c>
      <c r="B155" s="137" t="e">
        <f>t9otherothr3</f>
        <v>#REF!</v>
      </c>
    </row>
    <row r="156" spans="1:2" ht="12.75" customHeight="1">
      <c r="A156" s="133" t="s">
        <v>644</v>
      </c>
      <c r="B156" s="137" t="e">
        <f>t9othertot</f>
        <v>#REF!</v>
      </c>
    </row>
    <row r="157" spans="1:2" ht="12.75" customHeight="1">
      <c r="A157" s="133" t="s">
        <v>645</v>
      </c>
      <c r="B157" s="135" t="e">
        <f>t9casecount</f>
        <v>#REF!</v>
      </c>
    </row>
    <row r="158" spans="1:2" ht="12.75" customHeight="1">
      <c r="A158" s="133" t="s">
        <v>646</v>
      </c>
      <c r="B158" s="138" t="e">
        <f>t9yobgpercap</f>
        <v>#REF!</v>
      </c>
    </row>
    <row r="159" spans="1:2" ht="12.75" customHeight="1">
      <c r="A159" s="133" t="s">
        <v>647</v>
      </c>
      <c r="B159" s="138" t="e">
        <f>t9totpercap</f>
        <v>#REF!</v>
      </c>
    </row>
    <row r="160" spans="1:2" ht="12.75" customHeight="1">
      <c r="A160" s="133" t="s">
        <v>648</v>
      </c>
      <c r="B160" s="135" t="e">
        <f>t9youth1</f>
        <v>#REF!</v>
      </c>
    </row>
    <row r="161" spans="1:2" ht="12.75" customHeight="1">
      <c r="A161" s="133" t="s">
        <v>649</v>
      </c>
      <c r="B161" s="135" t="e">
        <f>t9youth2</f>
        <v>#REF!</v>
      </c>
    </row>
    <row r="162" spans="1:2" ht="12.75" customHeight="1">
      <c r="A162" s="133" t="s">
        <v>650</v>
      </c>
      <c r="B162" s="135" t="e">
        <f>t9youth3</f>
        <v>#REF!</v>
      </c>
    </row>
    <row r="163" spans="1:2" ht="12.75" customHeight="1">
      <c r="A163" s="133" t="s">
        <v>651</v>
      </c>
      <c r="B163" s="135" t="e">
        <f>t9youth4</f>
        <v>#REF!</v>
      </c>
    </row>
    <row r="164" spans="1:2" ht="12.75" customHeight="1">
      <c r="A164" s="133" t="s">
        <v>652</v>
      </c>
      <c r="B164" s="135" t="e">
        <f>t9youth5</f>
        <v>#REF!</v>
      </c>
    </row>
    <row r="165" spans="1:2" ht="12.75" customHeight="1">
      <c r="A165" s="133" t="s">
        <v>653</v>
      </c>
      <c r="B165" s="135" t="e">
        <f>t9youth6</f>
        <v>#REF!</v>
      </c>
    </row>
    <row r="166" spans="1:2" ht="12.75" customHeight="1">
      <c r="A166" s="133" t="s">
        <v>654</v>
      </c>
      <c r="B166" s="133" t="e">
        <f>Numecodet10</f>
        <v>#REF!</v>
      </c>
    </row>
    <row r="167" spans="1:2" ht="12.75" customHeight="1">
      <c r="A167" s="133" t="s">
        <v>655</v>
      </c>
      <c r="B167" s="133" t="e">
        <f>Numealtt10</f>
        <v>#REF!</v>
      </c>
    </row>
    <row r="168" spans="1:2" ht="12.75" customHeight="1">
      <c r="A168" s="133" t="s">
        <v>656</v>
      </c>
      <c r="B168" s="137" t="e">
        <f>t10yobgsal</f>
        <v>#REF!</v>
      </c>
    </row>
    <row r="169" spans="1:2" ht="12.75" customHeight="1">
      <c r="A169" s="133" t="s">
        <v>657</v>
      </c>
      <c r="B169" s="137" t="e">
        <f>t10yobgserv</f>
        <v>#REF!</v>
      </c>
    </row>
    <row r="170" spans="1:2" ht="12.75" customHeight="1">
      <c r="A170" s="133" t="s">
        <v>658</v>
      </c>
      <c r="B170" s="137" t="e">
        <f>t10yobgprof</f>
        <v>#REF!</v>
      </c>
    </row>
    <row r="171" spans="1:2" ht="12.75" customHeight="1">
      <c r="A171" s="133" t="s">
        <v>659</v>
      </c>
      <c r="B171" s="137" t="e">
        <f>t10yobgcbo</f>
        <v>#REF!</v>
      </c>
    </row>
    <row r="172" spans="1:2" ht="12.75" customHeight="1">
      <c r="A172" s="133" t="s">
        <v>660</v>
      </c>
      <c r="B172" s="137" t="e">
        <f>t10yobgequip</f>
        <v>#REF!</v>
      </c>
    </row>
    <row r="173" spans="1:2" ht="12.75" customHeight="1">
      <c r="A173" s="133" t="s">
        <v>661</v>
      </c>
      <c r="B173" s="137" t="e">
        <f>t10yobgadmin</f>
        <v>#REF!</v>
      </c>
    </row>
    <row r="174" spans="1:2" ht="12.75" customHeight="1">
      <c r="A174" s="133" t="s">
        <v>662</v>
      </c>
      <c r="B174" s="137" t="e">
        <f>t10yobgothr1</f>
        <v>#REF!</v>
      </c>
    </row>
    <row r="175" spans="1:2" ht="12.75" customHeight="1">
      <c r="A175" s="133" t="s">
        <v>663</v>
      </c>
      <c r="B175" s="137" t="e">
        <f>t10yobgothr2</f>
        <v>#REF!</v>
      </c>
    </row>
    <row r="176" spans="1:2" ht="12.75" customHeight="1">
      <c r="A176" s="133" t="s">
        <v>664</v>
      </c>
      <c r="B176" s="137" t="e">
        <f>t10yobgothr3</f>
        <v>#REF!</v>
      </c>
    </row>
    <row r="177" spans="1:2" ht="12.75" customHeight="1">
      <c r="A177" s="133" t="s">
        <v>665</v>
      </c>
      <c r="B177" s="137" t="e">
        <f>t10yobgtot</f>
        <v>#REF!</v>
      </c>
    </row>
    <row r="178" spans="1:2" ht="12.75" customHeight="1">
      <c r="A178" s="133" t="s">
        <v>666</v>
      </c>
      <c r="B178" s="137" t="e">
        <f>t10jjcpasal</f>
        <v>#REF!</v>
      </c>
    </row>
    <row r="179" spans="1:2" ht="12.75" customHeight="1">
      <c r="A179" s="133" t="s">
        <v>667</v>
      </c>
      <c r="B179" s="137" t="e">
        <f>t10jjcpaserv</f>
        <v>#REF!</v>
      </c>
    </row>
    <row r="180" spans="1:2" ht="12.75" customHeight="1">
      <c r="A180" s="133" t="s">
        <v>668</v>
      </c>
      <c r="B180" s="137" t="e">
        <f>t10jjcpaprof</f>
        <v>#REF!</v>
      </c>
    </row>
    <row r="181" spans="1:2" ht="12.75" customHeight="1">
      <c r="A181" s="133" t="s">
        <v>669</v>
      </c>
      <c r="B181" s="137" t="e">
        <f>t10jjcpacbo</f>
        <v>#REF!</v>
      </c>
    </row>
    <row r="182" spans="1:2" ht="12.75" customHeight="1">
      <c r="A182" s="133" t="s">
        <v>670</v>
      </c>
      <c r="B182" s="137" t="e">
        <f>t10jjcpaequip</f>
        <v>#REF!</v>
      </c>
    </row>
    <row r="183" spans="1:2" ht="12.75" customHeight="1">
      <c r="A183" s="133" t="s">
        <v>671</v>
      </c>
      <c r="B183" s="137" t="e">
        <f>t10jjcpaadmin</f>
        <v>#REF!</v>
      </c>
    </row>
    <row r="184" spans="1:2" ht="12.75" customHeight="1">
      <c r="A184" s="133" t="s">
        <v>672</v>
      </c>
      <c r="B184" s="137" t="e">
        <f>t10jjcpaothr1</f>
        <v>#REF!</v>
      </c>
    </row>
    <row r="185" spans="1:2" ht="12.75" customHeight="1">
      <c r="A185" s="133" t="s">
        <v>673</v>
      </c>
      <c r="B185" s="137" t="e">
        <f>t10jjcpaothr2</f>
        <v>#REF!</v>
      </c>
    </row>
    <row r="186" spans="1:2" ht="12.75" customHeight="1">
      <c r="A186" s="133" t="s">
        <v>674</v>
      </c>
      <c r="B186" s="137" t="e">
        <f>t10jjcpaothr3</f>
        <v>#REF!</v>
      </c>
    </row>
    <row r="187" spans="1:2" ht="12.75" customHeight="1">
      <c r="A187" s="133" t="s">
        <v>675</v>
      </c>
      <c r="B187" s="137" t="e">
        <f>t10jjcpatot</f>
        <v>#REF!</v>
      </c>
    </row>
    <row r="188" spans="1:2" ht="12.75" customHeight="1">
      <c r="A188" s="133" t="s">
        <v>676</v>
      </c>
      <c r="B188" s="137" t="e">
        <f>t10othersal</f>
        <v>#REF!</v>
      </c>
    </row>
    <row r="189" spans="1:2" ht="12.75" customHeight="1">
      <c r="A189" s="133" t="s">
        <v>677</v>
      </c>
      <c r="B189" s="137" t="e">
        <f>t10otherserv</f>
        <v>#REF!</v>
      </c>
    </row>
    <row r="190" spans="1:2" ht="12.75" customHeight="1">
      <c r="A190" s="133" t="s">
        <v>678</v>
      </c>
      <c r="B190" s="137" t="e">
        <f>t10otherprof</f>
        <v>#REF!</v>
      </c>
    </row>
    <row r="191" spans="1:2" ht="12.75" customHeight="1">
      <c r="A191" s="133" t="s">
        <v>679</v>
      </c>
      <c r="B191" s="137" t="e">
        <f>t10othercbo</f>
        <v>#REF!</v>
      </c>
    </row>
    <row r="192" spans="1:2" ht="12.75" customHeight="1">
      <c r="A192" s="133" t="s">
        <v>680</v>
      </c>
      <c r="B192" s="137" t="e">
        <f>t10otherequip</f>
        <v>#REF!</v>
      </c>
    </row>
    <row r="193" spans="1:2" ht="12.75" customHeight="1">
      <c r="A193" s="133" t="s">
        <v>681</v>
      </c>
      <c r="B193" s="137" t="e">
        <f>t10otheradmin</f>
        <v>#REF!</v>
      </c>
    </row>
    <row r="194" spans="1:2" ht="12.75" customHeight="1">
      <c r="A194" s="133" t="s">
        <v>682</v>
      </c>
      <c r="B194" s="137" t="e">
        <f>t10otherothr1</f>
        <v>#REF!</v>
      </c>
    </row>
    <row r="195" spans="1:2" ht="12.75" customHeight="1">
      <c r="A195" s="133" t="s">
        <v>683</v>
      </c>
      <c r="B195" s="137" t="e">
        <f>t10otherothr2</f>
        <v>#REF!</v>
      </c>
    </row>
    <row r="196" spans="1:2" ht="12.75" customHeight="1">
      <c r="A196" s="133" t="s">
        <v>684</v>
      </c>
      <c r="B196" s="137" t="e">
        <f>t10otherothr3</f>
        <v>#REF!</v>
      </c>
    </row>
    <row r="197" spans="1:2" ht="12.75" customHeight="1">
      <c r="A197" s="133" t="s">
        <v>685</v>
      </c>
      <c r="B197" s="137" t="e">
        <f>t10othertot</f>
        <v>#REF!</v>
      </c>
    </row>
    <row r="198" spans="1:2" ht="12.75" customHeight="1">
      <c r="A198" s="133" t="s">
        <v>686</v>
      </c>
      <c r="B198" s="135" t="e">
        <f>t10casecount</f>
        <v>#REF!</v>
      </c>
    </row>
    <row r="199" spans="1:2" ht="12.75" customHeight="1">
      <c r="A199" s="133" t="s">
        <v>687</v>
      </c>
      <c r="B199" s="138" t="e">
        <f>t10yobgpercap</f>
        <v>#REF!</v>
      </c>
    </row>
    <row r="200" spans="1:2" ht="12.75" customHeight="1">
      <c r="A200" s="133" t="s">
        <v>688</v>
      </c>
      <c r="B200" s="138" t="e">
        <f>t10totpercap</f>
        <v>#REF!</v>
      </c>
    </row>
    <row r="201" spans="1:2" ht="12.75" customHeight="1">
      <c r="A201" s="133" t="s">
        <v>689</v>
      </c>
      <c r="B201" s="135" t="e">
        <f>t10youth1</f>
        <v>#REF!</v>
      </c>
    </row>
    <row r="202" spans="1:2" ht="12.75" customHeight="1">
      <c r="A202" s="133" t="s">
        <v>690</v>
      </c>
      <c r="B202" s="135" t="e">
        <f>t10youth2</f>
        <v>#REF!</v>
      </c>
    </row>
    <row r="203" spans="1:2" ht="12.75" customHeight="1">
      <c r="A203" s="133" t="s">
        <v>691</v>
      </c>
      <c r="B203" s="135" t="e">
        <f>t10youth3</f>
        <v>#REF!</v>
      </c>
    </row>
    <row r="204" spans="1:2" ht="12.75" customHeight="1">
      <c r="A204" s="133" t="s">
        <v>692</v>
      </c>
      <c r="B204" s="135" t="e">
        <f>t10youth4</f>
        <v>#REF!</v>
      </c>
    </row>
    <row r="205" spans="1:2" ht="12.75" customHeight="1">
      <c r="A205" s="133" t="s">
        <v>693</v>
      </c>
      <c r="B205" s="135" t="e">
        <f>t10youth5</f>
        <v>#REF!</v>
      </c>
    </row>
    <row r="206" spans="1:2" ht="12.75" customHeight="1">
      <c r="A206" s="133" t="s">
        <v>694</v>
      </c>
      <c r="B206" s="135" t="e">
        <f>t10youth6</f>
        <v>#REF!</v>
      </c>
    </row>
    <row r="207" spans="1:2" ht="12.75" customHeight="1">
      <c r="A207" s="133" t="s">
        <v>695</v>
      </c>
      <c r="B207" s="135">
        <f>asi</f>
        <v>0</v>
      </c>
    </row>
    <row r="208" spans="1:2" ht="12.75" customHeight="1">
      <c r="A208" s="133" t="s">
        <v>229</v>
      </c>
      <c r="B208" s="135">
        <f>bot</f>
        <v>0</v>
      </c>
    </row>
    <row r="209" spans="1:2" ht="12.75" customHeight="1">
      <c r="A209" s="133" t="s">
        <v>696</v>
      </c>
      <c r="B209" s="135">
        <f>COMPAS</f>
        <v>0</v>
      </c>
    </row>
    <row r="210" spans="1:2" ht="12.75" customHeight="1">
      <c r="A210" s="133" t="s">
        <v>697</v>
      </c>
      <c r="B210" s="135">
        <f>JAIS</f>
        <v>0</v>
      </c>
    </row>
    <row r="211" spans="1:2" ht="12.75" customHeight="1">
      <c r="A211" s="133" t="s">
        <v>698</v>
      </c>
      <c r="B211" s="135">
        <f>LSIR</f>
        <v>0</v>
      </c>
    </row>
    <row r="212" spans="1:2" ht="12.75" customHeight="1">
      <c r="A212" s="133" t="s">
        <v>699</v>
      </c>
      <c r="B212" s="135">
        <f>MAYSI2</f>
        <v>0</v>
      </c>
    </row>
    <row r="213" spans="1:2" ht="12.75" customHeight="1">
      <c r="A213" s="133" t="s">
        <v>700</v>
      </c>
      <c r="B213" s="135">
        <f>MAYSI</f>
        <v>0</v>
      </c>
    </row>
    <row r="214" spans="1:2" ht="12.75" customHeight="1">
      <c r="A214" s="133" t="s">
        <v>701</v>
      </c>
      <c r="B214" s="135">
        <f>NIC</f>
        <v>0</v>
      </c>
    </row>
    <row r="215" spans="1:2" ht="12.75" customHeight="1">
      <c r="A215" s="133" t="s">
        <v>702</v>
      </c>
      <c r="B215" s="135">
        <f>PACT</f>
        <v>0</v>
      </c>
    </row>
    <row r="216" spans="1:2" ht="12.75" customHeight="1">
      <c r="A216" s="133" t="s">
        <v>703</v>
      </c>
      <c r="B216" s="135">
        <f>RRC</f>
        <v>0</v>
      </c>
    </row>
    <row r="217" spans="1:2" ht="12.75" customHeight="1">
      <c r="A217" s="133" t="s">
        <v>704</v>
      </c>
      <c r="B217" s="135">
        <f>YLSCMI</f>
        <v>0</v>
      </c>
    </row>
    <row r="218" spans="1:2" ht="12.75" customHeight="1">
      <c r="A218" s="133" t="s">
        <v>705</v>
      </c>
      <c r="B218" s="135">
        <f>othrassessmentname1</f>
        <v>0</v>
      </c>
    </row>
    <row r="219" spans="1:2" ht="12.75" customHeight="1">
      <c r="A219" s="133" t="s">
        <v>706</v>
      </c>
      <c r="B219" s="135">
        <f>othrassess1</f>
        <v>0</v>
      </c>
    </row>
    <row r="220" spans="1:2" ht="12.75" customHeight="1">
      <c r="A220" s="133" t="s">
        <v>707</v>
      </c>
      <c r="B220" s="135">
        <f>othrassessmentname2</f>
        <v>0</v>
      </c>
    </row>
    <row r="221" spans="1:2" ht="12.75" customHeight="1">
      <c r="A221" s="133" t="s">
        <v>708</v>
      </c>
      <c r="B221" s="135">
        <f>othrassess2</f>
        <v>0</v>
      </c>
    </row>
    <row r="222" spans="1:2" ht="12.75" customHeight="1">
      <c r="A222" s="133" t="s">
        <v>709</v>
      </c>
      <c r="B222" s="135">
        <f>othrassessmentname3</f>
        <v>0</v>
      </c>
    </row>
    <row r="223" spans="1:2" ht="12.75" customHeight="1">
      <c r="A223" s="133" t="s">
        <v>710</v>
      </c>
      <c r="B223" s="135">
        <f>othrassess3</f>
        <v>0</v>
      </c>
    </row>
    <row r="224" spans="1:2" ht="12.75" customHeight="1">
      <c r="A224" s="133" t="s">
        <v>711</v>
      </c>
      <c r="B224" s="135">
        <f>othrassessmentname4</f>
        <v>0</v>
      </c>
    </row>
    <row r="225" spans="1:2" ht="12.75" customHeight="1">
      <c r="A225" s="133" t="s">
        <v>712</v>
      </c>
      <c r="B225" s="135">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4296875" defaultRowHeight="15" customHeight="1"/>
  <cols>
    <col min="1" max="1" width="37.81640625" customWidth="1"/>
    <col min="2" max="2" width="41.453125" customWidth="1"/>
    <col min="3" max="26" width="8.81640625" customWidth="1"/>
  </cols>
  <sheetData>
    <row r="1" spans="1:2" ht="12.75" customHeight="1">
      <c r="A1" s="133" t="s">
        <v>265</v>
      </c>
      <c r="B1" s="6" t="str">
        <f>County</f>
        <v>Humboldt</v>
      </c>
    </row>
    <row r="2" spans="1:2" ht="12.75" customHeight="1">
      <c r="A2" s="133" t="s">
        <v>713</v>
      </c>
      <c r="B2" s="135">
        <f>coord1</f>
        <v>0</v>
      </c>
    </row>
    <row r="3" spans="1:2" ht="12.75" customHeight="1">
      <c r="A3" s="133" t="s">
        <v>714</v>
      </c>
      <c r="B3" s="135">
        <f>coord2</f>
        <v>0</v>
      </c>
    </row>
    <row r="4" spans="1:2" ht="12.75" customHeight="1">
      <c r="A4" s="133" t="s">
        <v>715</v>
      </c>
      <c r="B4" s="135">
        <f>strategy</f>
        <v>0</v>
      </c>
    </row>
    <row r="5" spans="1:2" ht="12.75" customHeight="1">
      <c r="A5" s="133" t="s">
        <v>716</v>
      </c>
      <c r="B5" s="135">
        <f>stratnar</f>
        <v>0</v>
      </c>
    </row>
    <row r="6" spans="1:2" ht="12.75" customHeight="1">
      <c r="A6" s="133" t="s">
        <v>717</v>
      </c>
      <c r="B6" s="135">
        <f>stratdf</f>
        <v>0</v>
      </c>
    </row>
    <row r="7" spans="1:2" ht="12.75" customHeight="1">
      <c r="A7" s="133" t="s">
        <v>718</v>
      </c>
      <c r="B7" s="135">
        <f>stratplan</f>
        <v>0</v>
      </c>
    </row>
    <row r="8" spans="1:2" ht="12.75" customHeight="1">
      <c r="A8" s="133" t="s">
        <v>719</v>
      </c>
      <c r="B8" s="135">
        <f>coordnar</f>
        <v>0</v>
      </c>
    </row>
    <row r="9" spans="1:2" ht="12.75" customHeight="1">
      <c r="A9" s="133" t="s">
        <v>720</v>
      </c>
      <c r="B9" s="133">
        <f>regional</f>
        <v>0</v>
      </c>
    </row>
    <row r="10" spans="1:2" ht="12.75" customHeight="1">
      <c r="A10" s="133" t="s">
        <v>285</v>
      </c>
      <c r="B10" s="133" t="e">
        <f>Numecodet1</f>
        <v>#REF!</v>
      </c>
    </row>
    <row r="11" spans="1:2" ht="12.75" customHeight="1">
      <c r="A11" s="133" t="s">
        <v>286</v>
      </c>
      <c r="B11" s="133" t="e">
        <f>Numealtt1</f>
        <v>#REF!</v>
      </c>
    </row>
    <row r="12" spans="1:2" ht="12.75" customHeight="1">
      <c r="A12" s="133" t="s">
        <v>721</v>
      </c>
      <c r="B12" s="133" t="e">
        <f>JJCPAt1</f>
        <v>#REF!</v>
      </c>
    </row>
    <row r="13" spans="1:2" ht="12.75" customHeight="1">
      <c r="A13" s="133" t="s">
        <v>722</v>
      </c>
      <c r="B13" s="133" t="e">
        <f>Othert1</f>
        <v>#REF!</v>
      </c>
    </row>
    <row r="14" spans="1:2" ht="12.75" customHeight="1">
      <c r="A14" s="133" t="s">
        <v>317</v>
      </c>
      <c r="B14" s="135" t="e">
        <f>t1casecount</f>
        <v>#REF!</v>
      </c>
    </row>
    <row r="15" spans="1:2" ht="12.75" customHeight="1">
      <c r="A15" s="133" t="s">
        <v>318</v>
      </c>
      <c r="B15" s="138" t="e">
        <f>t1yobgpercap</f>
        <v>#REF!</v>
      </c>
    </row>
    <row r="16" spans="1:2" ht="12.75" customHeight="1">
      <c r="A16" s="133" t="s">
        <v>319</v>
      </c>
      <c r="B16" s="138" t="e">
        <f>t1totpercap</f>
        <v>#REF!</v>
      </c>
    </row>
    <row r="17" spans="1:2" ht="12.75" customHeight="1">
      <c r="A17" s="133" t="s">
        <v>723</v>
      </c>
      <c r="B17" s="133" t="e">
        <f>t1nar</f>
        <v>#REF!</v>
      </c>
    </row>
    <row r="18" spans="1:2" ht="12.75" customHeight="1">
      <c r="A18" s="133" t="s">
        <v>724</v>
      </c>
      <c r="B18" s="133" t="e">
        <f>t1goal</f>
        <v>#REF!</v>
      </c>
    </row>
    <row r="19" spans="1:2" ht="12.75" customHeight="1">
      <c r="A19" s="133" t="s">
        <v>725</v>
      </c>
      <c r="B19" s="133" t="e">
        <f>t1barrier</f>
        <v>#REF!</v>
      </c>
    </row>
    <row r="20" spans="1:2" ht="12.75" customHeight="1">
      <c r="A20" s="133" t="s">
        <v>726</v>
      </c>
      <c r="B20" s="133" t="e">
        <f>t1funds</f>
        <v>#REF!</v>
      </c>
    </row>
    <row r="21" spans="1:2" ht="12.75" customHeight="1">
      <c r="A21" s="133" t="s">
        <v>727</v>
      </c>
      <c r="B21" s="133">
        <f>t1other1</f>
        <v>0</v>
      </c>
    </row>
    <row r="22" spans="1:2" ht="12.75" customHeight="1">
      <c r="A22" s="133" t="s">
        <v>728</v>
      </c>
      <c r="B22" s="133">
        <f>t1other2</f>
        <v>0</v>
      </c>
    </row>
    <row r="23" spans="1:2" ht="12.75" customHeight="1">
      <c r="A23" s="133" t="s">
        <v>729</v>
      </c>
      <c r="B23" s="133">
        <f>t1other3</f>
        <v>0</v>
      </c>
    </row>
    <row r="24" spans="1:2" ht="12.75" customHeight="1">
      <c r="A24" s="133" t="s">
        <v>326</v>
      </c>
      <c r="B24" s="133" t="e">
        <f>Numecodet2</f>
        <v>#REF!</v>
      </c>
    </row>
    <row r="25" spans="1:2" ht="12.75" customHeight="1">
      <c r="A25" s="133" t="s">
        <v>327</v>
      </c>
      <c r="B25" s="133" t="e">
        <f>Numealtt2</f>
        <v>#REF!</v>
      </c>
    </row>
    <row r="26" spans="1:2" ht="12.75" customHeight="1">
      <c r="A26" s="133" t="s">
        <v>730</v>
      </c>
      <c r="B26" s="133" t="e">
        <f>JJCPAt2</f>
        <v>#REF!</v>
      </c>
    </row>
    <row r="27" spans="1:2" ht="12.75" customHeight="1">
      <c r="A27" s="133" t="s">
        <v>731</v>
      </c>
      <c r="B27" s="133" t="e">
        <f>Othert2</f>
        <v>#REF!</v>
      </c>
    </row>
    <row r="28" spans="1:2" ht="12.75" customHeight="1">
      <c r="A28" s="133" t="s">
        <v>358</v>
      </c>
      <c r="B28" s="135" t="e">
        <f>t2casecount</f>
        <v>#REF!</v>
      </c>
    </row>
    <row r="29" spans="1:2" ht="12.75" customHeight="1">
      <c r="A29" s="133" t="s">
        <v>359</v>
      </c>
      <c r="B29" s="138" t="e">
        <f>t2yobgpercap</f>
        <v>#REF!</v>
      </c>
    </row>
    <row r="30" spans="1:2" ht="12.75" customHeight="1">
      <c r="A30" s="133" t="s">
        <v>360</v>
      </c>
      <c r="B30" s="138" t="e">
        <f>t2totpercap</f>
        <v>#REF!</v>
      </c>
    </row>
    <row r="31" spans="1:2" ht="12.75" customHeight="1">
      <c r="A31" s="133" t="s">
        <v>732</v>
      </c>
      <c r="B31" s="133" t="e">
        <f>t2nar</f>
        <v>#REF!</v>
      </c>
    </row>
    <row r="32" spans="1:2" ht="12.75" customHeight="1">
      <c r="A32" s="133" t="s">
        <v>733</v>
      </c>
      <c r="B32" s="133" t="e">
        <f>t2goal</f>
        <v>#REF!</v>
      </c>
    </row>
    <row r="33" spans="1:2" ht="12.75" customHeight="1">
      <c r="A33" s="133" t="s">
        <v>734</v>
      </c>
      <c r="B33" s="133" t="e">
        <f>t2barrier</f>
        <v>#REF!</v>
      </c>
    </row>
    <row r="34" spans="1:2" ht="12.75" customHeight="1">
      <c r="A34" s="133" t="s">
        <v>735</v>
      </c>
      <c r="B34" s="133" t="e">
        <f>t2funds</f>
        <v>#REF!</v>
      </c>
    </row>
    <row r="35" spans="1:2" ht="12.75" customHeight="1">
      <c r="A35" s="133" t="s">
        <v>736</v>
      </c>
      <c r="B35" s="133" t="e">
        <f>t2other1</f>
        <v>#REF!</v>
      </c>
    </row>
    <row r="36" spans="1:2" ht="12.75" customHeight="1">
      <c r="A36" s="133" t="s">
        <v>737</v>
      </c>
      <c r="B36" s="133" t="e">
        <f>t2other2</f>
        <v>#REF!</v>
      </c>
    </row>
    <row r="37" spans="1:2" ht="12.75" customHeight="1">
      <c r="A37" s="133" t="s">
        <v>738</v>
      </c>
      <c r="B37" s="133" t="e">
        <f>t2other3</f>
        <v>#REF!</v>
      </c>
    </row>
    <row r="38" spans="1:2" ht="12.75" customHeight="1">
      <c r="A38" s="133" t="s">
        <v>367</v>
      </c>
      <c r="B38" s="133" t="e">
        <f>Numecodet3</f>
        <v>#REF!</v>
      </c>
    </row>
    <row r="39" spans="1:2" ht="12.75" customHeight="1">
      <c r="A39" s="133" t="s">
        <v>368</v>
      </c>
      <c r="B39" s="133" t="e">
        <f>Numealtt3</f>
        <v>#REF!</v>
      </c>
    </row>
    <row r="40" spans="1:2" ht="12.75" customHeight="1">
      <c r="A40" s="133" t="s">
        <v>739</v>
      </c>
      <c r="B40" s="133" t="e">
        <f>JJCPAt3</f>
        <v>#REF!</v>
      </c>
    </row>
    <row r="41" spans="1:2" ht="12.75" customHeight="1">
      <c r="A41" s="133" t="s">
        <v>740</v>
      </c>
      <c r="B41" s="133" t="e">
        <f>Othert3</f>
        <v>#REF!</v>
      </c>
    </row>
    <row r="42" spans="1:2" ht="12.75" customHeight="1">
      <c r="A42" s="133" t="s">
        <v>399</v>
      </c>
      <c r="B42" s="135" t="e">
        <f>t3casecount</f>
        <v>#REF!</v>
      </c>
    </row>
    <row r="43" spans="1:2" ht="12.75" customHeight="1">
      <c r="A43" s="133" t="s">
        <v>400</v>
      </c>
      <c r="B43" s="138" t="e">
        <f>t3yobgpercap</f>
        <v>#REF!</v>
      </c>
    </row>
    <row r="44" spans="1:2" ht="12.75" customHeight="1">
      <c r="A44" s="133" t="s">
        <v>401</v>
      </c>
      <c r="B44" s="138" t="e">
        <f>t3totpercap</f>
        <v>#REF!</v>
      </c>
    </row>
    <row r="45" spans="1:2" ht="12.75" customHeight="1">
      <c r="A45" s="133" t="s">
        <v>741</v>
      </c>
      <c r="B45" s="133" t="e">
        <f>t3nar</f>
        <v>#REF!</v>
      </c>
    </row>
    <row r="46" spans="1:2" ht="12.75" customHeight="1">
      <c r="A46" s="133" t="s">
        <v>742</v>
      </c>
      <c r="B46" s="133" t="e">
        <f>t3goal</f>
        <v>#REF!</v>
      </c>
    </row>
    <row r="47" spans="1:2" ht="12.75" customHeight="1">
      <c r="A47" s="133" t="s">
        <v>743</v>
      </c>
      <c r="B47" s="133" t="e">
        <f>t3barrier</f>
        <v>#REF!</v>
      </c>
    </row>
    <row r="48" spans="1:2" ht="12.75" customHeight="1">
      <c r="A48" s="133" t="s">
        <v>744</v>
      </c>
      <c r="B48" s="133" t="e">
        <f>t3funds</f>
        <v>#REF!</v>
      </c>
    </row>
    <row r="49" spans="1:2" ht="12.75" customHeight="1">
      <c r="A49" s="133" t="s">
        <v>745</v>
      </c>
      <c r="B49" s="133" t="e">
        <f>t3other1</f>
        <v>#REF!</v>
      </c>
    </row>
    <row r="50" spans="1:2" ht="12.75" customHeight="1">
      <c r="A50" s="133" t="s">
        <v>746</v>
      </c>
      <c r="B50" s="133" t="e">
        <f>t3other2</f>
        <v>#REF!</v>
      </c>
    </row>
    <row r="51" spans="1:2" ht="12.75" customHeight="1">
      <c r="A51" s="133" t="s">
        <v>747</v>
      </c>
      <c r="B51" s="133" t="e">
        <f>t3other3</f>
        <v>#REF!</v>
      </c>
    </row>
    <row r="52" spans="1:2" ht="12.75" customHeight="1">
      <c r="A52" s="133" t="s">
        <v>408</v>
      </c>
      <c r="B52" s="133" t="e">
        <f>Numecodet4</f>
        <v>#REF!</v>
      </c>
    </row>
    <row r="53" spans="1:2" ht="12.75" customHeight="1">
      <c r="A53" s="133" t="s">
        <v>409</v>
      </c>
      <c r="B53" s="133" t="e">
        <f>Numealtt4</f>
        <v>#REF!</v>
      </c>
    </row>
    <row r="54" spans="1:2" ht="12.75" customHeight="1">
      <c r="A54" s="133" t="s">
        <v>748</v>
      </c>
      <c r="B54" s="133" t="e">
        <f>JJCPAt4</f>
        <v>#REF!</v>
      </c>
    </row>
    <row r="55" spans="1:2" ht="12.75" customHeight="1">
      <c r="A55" s="133" t="s">
        <v>749</v>
      </c>
      <c r="B55" s="133" t="e">
        <f>Othert4</f>
        <v>#REF!</v>
      </c>
    </row>
    <row r="56" spans="1:2" ht="12.75" customHeight="1">
      <c r="A56" s="133" t="s">
        <v>440</v>
      </c>
      <c r="B56" s="135" t="e">
        <f>t4casecount</f>
        <v>#REF!</v>
      </c>
    </row>
    <row r="57" spans="1:2" ht="12.75" customHeight="1">
      <c r="A57" s="133" t="s">
        <v>441</v>
      </c>
      <c r="B57" s="138" t="e">
        <f>t4yobgpercap</f>
        <v>#REF!</v>
      </c>
    </row>
    <row r="58" spans="1:2" ht="12.75" customHeight="1">
      <c r="A58" s="133" t="s">
        <v>442</v>
      </c>
      <c r="B58" s="138" t="e">
        <f>t4totpercap</f>
        <v>#REF!</v>
      </c>
    </row>
    <row r="59" spans="1:2" ht="12.75" customHeight="1">
      <c r="A59" s="133" t="s">
        <v>750</v>
      </c>
      <c r="B59" s="133" t="e">
        <f>t4nar</f>
        <v>#REF!</v>
      </c>
    </row>
    <row r="60" spans="1:2" ht="12.75" customHeight="1">
      <c r="A60" s="133" t="s">
        <v>751</v>
      </c>
      <c r="B60" s="133" t="e">
        <f>t4goal</f>
        <v>#REF!</v>
      </c>
    </row>
    <row r="61" spans="1:2" ht="12.75" customHeight="1">
      <c r="A61" s="133" t="s">
        <v>752</v>
      </c>
      <c r="B61" s="133" t="e">
        <f>t4barrier</f>
        <v>#REF!</v>
      </c>
    </row>
    <row r="62" spans="1:2" ht="12.75" customHeight="1">
      <c r="A62" s="133" t="s">
        <v>753</v>
      </c>
      <c r="B62" s="133" t="e">
        <f>t4funds</f>
        <v>#REF!</v>
      </c>
    </row>
    <row r="63" spans="1:2" ht="12.75" customHeight="1">
      <c r="A63" s="133" t="s">
        <v>754</v>
      </c>
      <c r="B63" s="133" t="e">
        <f>t4other1</f>
        <v>#REF!</v>
      </c>
    </row>
    <row r="64" spans="1:2" ht="12.75" customHeight="1">
      <c r="A64" s="133" t="s">
        <v>755</v>
      </c>
      <c r="B64" s="133" t="e">
        <f>t4other2</f>
        <v>#REF!</v>
      </c>
    </row>
    <row r="65" spans="1:2" ht="12.75" customHeight="1">
      <c r="A65" s="133" t="s">
        <v>756</v>
      </c>
      <c r="B65" s="133" t="e">
        <f>t4other3</f>
        <v>#REF!</v>
      </c>
    </row>
    <row r="66" spans="1:2" ht="12.75" customHeight="1">
      <c r="A66" s="133" t="s">
        <v>449</v>
      </c>
      <c r="B66" s="133" t="e">
        <f>Numecodet5</f>
        <v>#REF!</v>
      </c>
    </row>
    <row r="67" spans="1:2" ht="12.75" customHeight="1">
      <c r="A67" s="133" t="s">
        <v>450</v>
      </c>
      <c r="B67" s="133" t="e">
        <f>Numealtt5</f>
        <v>#REF!</v>
      </c>
    </row>
    <row r="68" spans="1:2" ht="12.75" customHeight="1">
      <c r="A68" s="133" t="s">
        <v>757</v>
      </c>
      <c r="B68" s="133" t="e">
        <f>JJCPAt5</f>
        <v>#REF!</v>
      </c>
    </row>
    <row r="69" spans="1:2" ht="12.75" customHeight="1">
      <c r="A69" s="133" t="s">
        <v>758</v>
      </c>
      <c r="B69" s="133" t="e">
        <f>Othert5</f>
        <v>#REF!</v>
      </c>
    </row>
    <row r="70" spans="1:2" ht="12.75" customHeight="1">
      <c r="A70" s="133" t="s">
        <v>481</v>
      </c>
      <c r="B70" s="135" t="e">
        <f>t5casecount</f>
        <v>#REF!</v>
      </c>
    </row>
    <row r="71" spans="1:2" ht="12.75" customHeight="1">
      <c r="A71" s="133" t="s">
        <v>482</v>
      </c>
      <c r="B71" s="138" t="e">
        <f>t5yobgpercap</f>
        <v>#REF!</v>
      </c>
    </row>
    <row r="72" spans="1:2" ht="12.75" customHeight="1">
      <c r="A72" s="133" t="s">
        <v>483</v>
      </c>
      <c r="B72" s="138" t="e">
        <f>t5totpercap</f>
        <v>#REF!</v>
      </c>
    </row>
    <row r="73" spans="1:2" ht="12.75" customHeight="1">
      <c r="A73" s="133" t="s">
        <v>759</v>
      </c>
      <c r="B73" s="133" t="e">
        <f>t5nar</f>
        <v>#REF!</v>
      </c>
    </row>
    <row r="74" spans="1:2" ht="12.75" customHeight="1">
      <c r="A74" s="133" t="s">
        <v>760</v>
      </c>
      <c r="B74" s="133" t="e">
        <f>t5goal</f>
        <v>#REF!</v>
      </c>
    </row>
    <row r="75" spans="1:2" ht="12.75" customHeight="1">
      <c r="A75" s="133" t="s">
        <v>761</v>
      </c>
      <c r="B75" s="133" t="e">
        <f>t5barrier</f>
        <v>#REF!</v>
      </c>
    </row>
    <row r="76" spans="1:2" ht="12.75" customHeight="1">
      <c r="A76" s="133" t="s">
        <v>762</v>
      </c>
      <c r="B76" s="133" t="e">
        <f>t5funds</f>
        <v>#REF!</v>
      </c>
    </row>
    <row r="77" spans="1:2" ht="12.75" customHeight="1">
      <c r="A77" s="133" t="s">
        <v>763</v>
      </c>
      <c r="B77" s="133" t="e">
        <f>t5other1</f>
        <v>#REF!</v>
      </c>
    </row>
    <row r="78" spans="1:2" ht="12.75" customHeight="1">
      <c r="A78" s="133" t="s">
        <v>764</v>
      </c>
      <c r="B78" s="133" t="e">
        <f>t5other2</f>
        <v>#REF!</v>
      </c>
    </row>
    <row r="79" spans="1:2" ht="12.75" customHeight="1">
      <c r="A79" s="133" t="s">
        <v>765</v>
      </c>
      <c r="B79" s="133" t="e">
        <f>t5other3</f>
        <v>#REF!</v>
      </c>
    </row>
    <row r="80" spans="1:2" ht="12.75" customHeight="1">
      <c r="A80" s="133" t="s">
        <v>490</v>
      </c>
      <c r="B80" s="133" t="e">
        <f>Numecodet6</f>
        <v>#REF!</v>
      </c>
    </row>
    <row r="81" spans="1:2" ht="12.75" customHeight="1">
      <c r="A81" s="133" t="s">
        <v>491</v>
      </c>
      <c r="B81" s="133" t="e">
        <f>Numealtt6</f>
        <v>#REF!</v>
      </c>
    </row>
    <row r="82" spans="1:2" ht="12.75" customHeight="1">
      <c r="A82" s="133" t="s">
        <v>766</v>
      </c>
      <c r="B82" s="133" t="e">
        <f>JJCPAt6</f>
        <v>#REF!</v>
      </c>
    </row>
    <row r="83" spans="1:2" ht="12.75" customHeight="1">
      <c r="A83" s="133" t="s">
        <v>767</v>
      </c>
      <c r="B83" s="133" t="e">
        <f>Othert6</f>
        <v>#REF!</v>
      </c>
    </row>
    <row r="84" spans="1:2" ht="12.75" customHeight="1">
      <c r="A84" s="133" t="s">
        <v>522</v>
      </c>
      <c r="B84" s="135" t="e">
        <f>t6casecount</f>
        <v>#REF!</v>
      </c>
    </row>
    <row r="85" spans="1:2" ht="12.75" customHeight="1">
      <c r="A85" s="133" t="s">
        <v>523</v>
      </c>
      <c r="B85" s="138" t="e">
        <f>t6yobgpercap</f>
        <v>#REF!</v>
      </c>
    </row>
    <row r="86" spans="1:2" ht="12.75" customHeight="1">
      <c r="A86" s="133" t="s">
        <v>524</v>
      </c>
      <c r="B86" s="138" t="e">
        <f>t6totpercap</f>
        <v>#REF!</v>
      </c>
    </row>
    <row r="87" spans="1:2" ht="12.75" customHeight="1">
      <c r="A87" s="133" t="s">
        <v>768</v>
      </c>
      <c r="B87" s="133" t="e">
        <f>t6nar</f>
        <v>#REF!</v>
      </c>
    </row>
    <row r="88" spans="1:2" ht="12.75" customHeight="1">
      <c r="A88" s="133" t="s">
        <v>769</v>
      </c>
      <c r="B88" s="133" t="e">
        <f>t6goal</f>
        <v>#REF!</v>
      </c>
    </row>
    <row r="89" spans="1:2" ht="12.75" customHeight="1">
      <c r="A89" s="133" t="s">
        <v>770</v>
      </c>
      <c r="B89" s="133" t="e">
        <f>t6barrier</f>
        <v>#REF!</v>
      </c>
    </row>
    <row r="90" spans="1:2" ht="12.75" customHeight="1">
      <c r="A90" s="133" t="s">
        <v>771</v>
      </c>
      <c r="B90" s="133" t="e">
        <f>t6funds</f>
        <v>#REF!</v>
      </c>
    </row>
    <row r="91" spans="1:2" ht="12.75" customHeight="1">
      <c r="A91" s="133" t="s">
        <v>772</v>
      </c>
      <c r="B91" s="133" t="e">
        <f>t6other1</f>
        <v>#REF!</v>
      </c>
    </row>
    <row r="92" spans="1:2" ht="12.75" customHeight="1">
      <c r="A92" s="133" t="s">
        <v>773</v>
      </c>
      <c r="B92" s="133" t="e">
        <f>t6other2</f>
        <v>#REF!</v>
      </c>
    </row>
    <row r="93" spans="1:2" ht="12.75" customHeight="1">
      <c r="A93" s="133" t="s">
        <v>774</v>
      </c>
      <c r="B93" s="133" t="e">
        <f>t6other3</f>
        <v>#REF!</v>
      </c>
    </row>
    <row r="94" spans="1:2" ht="12.75" customHeight="1">
      <c r="A94" s="133" t="s">
        <v>531</v>
      </c>
      <c r="B94" s="133" t="e">
        <f>Numecodet7</f>
        <v>#REF!</v>
      </c>
    </row>
    <row r="95" spans="1:2" ht="12.75" customHeight="1">
      <c r="A95" s="133" t="s">
        <v>532</v>
      </c>
      <c r="B95" s="133" t="e">
        <f>Numealtt7</f>
        <v>#REF!</v>
      </c>
    </row>
    <row r="96" spans="1:2" ht="12.75" customHeight="1">
      <c r="A96" s="133" t="s">
        <v>775</v>
      </c>
      <c r="B96" s="133" t="e">
        <f>JJCPAt7</f>
        <v>#REF!</v>
      </c>
    </row>
    <row r="97" spans="1:2" ht="12.75" customHeight="1">
      <c r="A97" s="133" t="s">
        <v>776</v>
      </c>
      <c r="B97" s="133" t="e">
        <f>Othert7</f>
        <v>#REF!</v>
      </c>
    </row>
    <row r="98" spans="1:2" ht="12.75" customHeight="1">
      <c r="A98" s="133" t="s">
        <v>563</v>
      </c>
      <c r="B98" s="135" t="e">
        <f>t7casecount</f>
        <v>#REF!</v>
      </c>
    </row>
    <row r="99" spans="1:2" ht="12.75" customHeight="1">
      <c r="A99" s="133" t="s">
        <v>564</v>
      </c>
      <c r="B99" s="138" t="e">
        <f>t7yobgpercap</f>
        <v>#REF!</v>
      </c>
    </row>
    <row r="100" spans="1:2" ht="12.75" customHeight="1">
      <c r="A100" s="133" t="s">
        <v>565</v>
      </c>
      <c r="B100" s="138" t="e">
        <f>t7totpercap</f>
        <v>#REF!</v>
      </c>
    </row>
    <row r="101" spans="1:2" ht="12.75" customHeight="1">
      <c r="A101" s="133" t="s">
        <v>777</v>
      </c>
      <c r="B101" s="133" t="e">
        <f>t7nar</f>
        <v>#REF!</v>
      </c>
    </row>
    <row r="102" spans="1:2" ht="12.75" customHeight="1">
      <c r="A102" s="133" t="s">
        <v>778</v>
      </c>
      <c r="B102" s="133" t="e">
        <f>t7goal</f>
        <v>#REF!</v>
      </c>
    </row>
    <row r="103" spans="1:2" ht="12.75" customHeight="1">
      <c r="A103" s="133" t="s">
        <v>779</v>
      </c>
      <c r="B103" s="133" t="e">
        <f>t7barrier</f>
        <v>#REF!</v>
      </c>
    </row>
    <row r="104" spans="1:2" ht="12.75" customHeight="1">
      <c r="A104" s="133" t="s">
        <v>780</v>
      </c>
      <c r="B104" s="133" t="e">
        <f>t7funds</f>
        <v>#REF!</v>
      </c>
    </row>
    <row r="105" spans="1:2" ht="12.75" customHeight="1">
      <c r="A105" s="133" t="s">
        <v>781</v>
      </c>
      <c r="B105" s="133" t="e">
        <f>t7other1</f>
        <v>#REF!</v>
      </c>
    </row>
    <row r="106" spans="1:2" ht="12.75" customHeight="1">
      <c r="A106" s="133" t="s">
        <v>782</v>
      </c>
      <c r="B106" s="133" t="e">
        <f>t7other2</f>
        <v>#REF!</v>
      </c>
    </row>
    <row r="107" spans="1:2" ht="12.75" customHeight="1">
      <c r="A107" s="133" t="s">
        <v>783</v>
      </c>
      <c r="B107" s="133" t="e">
        <f>t7other3</f>
        <v>#REF!</v>
      </c>
    </row>
    <row r="108" spans="1:2" ht="12.75" customHeight="1">
      <c r="A108" s="133" t="s">
        <v>572</v>
      </c>
      <c r="B108" s="133" t="e">
        <f>Numecodet8</f>
        <v>#REF!</v>
      </c>
    </row>
    <row r="109" spans="1:2" ht="12.75" customHeight="1">
      <c r="A109" s="133" t="s">
        <v>573</v>
      </c>
      <c r="B109" s="133" t="e">
        <f>Numealtt8</f>
        <v>#REF!</v>
      </c>
    </row>
    <row r="110" spans="1:2" ht="12.75" customHeight="1">
      <c r="A110" s="133" t="s">
        <v>784</v>
      </c>
      <c r="B110" s="133" t="e">
        <f>JJCPAt8</f>
        <v>#REF!</v>
      </c>
    </row>
    <row r="111" spans="1:2" ht="12.75" customHeight="1">
      <c r="A111" s="133" t="s">
        <v>785</v>
      </c>
      <c r="B111" s="133" t="e">
        <f>Othert8</f>
        <v>#REF!</v>
      </c>
    </row>
    <row r="112" spans="1:2" ht="12.75" customHeight="1">
      <c r="A112" s="133" t="s">
        <v>604</v>
      </c>
      <c r="B112" s="135" t="e">
        <f>t8casecount</f>
        <v>#REF!</v>
      </c>
    </row>
    <row r="113" spans="1:2" ht="12.75" customHeight="1">
      <c r="A113" s="133" t="s">
        <v>605</v>
      </c>
      <c r="B113" s="138" t="e">
        <f>t8yobgpercap</f>
        <v>#REF!</v>
      </c>
    </row>
    <row r="114" spans="1:2" ht="12.75" customHeight="1">
      <c r="A114" s="133" t="s">
        <v>606</v>
      </c>
      <c r="B114" s="138" t="e">
        <f>t8totpercap</f>
        <v>#REF!</v>
      </c>
    </row>
    <row r="115" spans="1:2" ht="12.75" customHeight="1">
      <c r="A115" s="133" t="s">
        <v>786</v>
      </c>
      <c r="B115" s="133" t="e">
        <f>t8nar</f>
        <v>#REF!</v>
      </c>
    </row>
    <row r="116" spans="1:2" ht="12.75" customHeight="1">
      <c r="A116" s="133" t="s">
        <v>787</v>
      </c>
      <c r="B116" s="133" t="e">
        <f>t8goal</f>
        <v>#REF!</v>
      </c>
    </row>
    <row r="117" spans="1:2" ht="12.75" customHeight="1">
      <c r="A117" s="133" t="s">
        <v>788</v>
      </c>
      <c r="B117" s="133" t="e">
        <f>t8barrier</f>
        <v>#REF!</v>
      </c>
    </row>
    <row r="118" spans="1:2" ht="12.75" customHeight="1">
      <c r="A118" s="133" t="s">
        <v>789</v>
      </c>
      <c r="B118" s="133" t="e">
        <f>t8funds</f>
        <v>#REF!</v>
      </c>
    </row>
    <row r="119" spans="1:2" ht="12.75" customHeight="1">
      <c r="A119" s="133" t="s">
        <v>790</v>
      </c>
      <c r="B119" s="133" t="e">
        <f>t8other1</f>
        <v>#REF!</v>
      </c>
    </row>
    <row r="120" spans="1:2" ht="12.75" customHeight="1">
      <c r="A120" s="133" t="s">
        <v>791</v>
      </c>
      <c r="B120" s="133" t="e">
        <f>t8other2</f>
        <v>#REF!</v>
      </c>
    </row>
    <row r="121" spans="1:2" ht="12.75" customHeight="1">
      <c r="A121" s="133" t="s">
        <v>792</v>
      </c>
      <c r="B121" s="133" t="e">
        <f>t8other3</f>
        <v>#REF!</v>
      </c>
    </row>
    <row r="122" spans="1:2" ht="12.75" customHeight="1">
      <c r="A122" s="133" t="s">
        <v>613</v>
      </c>
      <c r="B122" s="133" t="e">
        <f>Numecodet9</f>
        <v>#REF!</v>
      </c>
    </row>
    <row r="123" spans="1:2" ht="12.75" customHeight="1">
      <c r="A123" s="133" t="s">
        <v>614</v>
      </c>
      <c r="B123" s="133" t="e">
        <f>Numealtt9</f>
        <v>#REF!</v>
      </c>
    </row>
    <row r="124" spans="1:2" ht="12.75" customHeight="1">
      <c r="A124" s="133" t="s">
        <v>793</v>
      </c>
      <c r="B124" s="133" t="e">
        <f>JJCPAt9</f>
        <v>#REF!</v>
      </c>
    </row>
    <row r="125" spans="1:2" ht="12.75" customHeight="1">
      <c r="A125" s="133" t="s">
        <v>794</v>
      </c>
      <c r="B125" s="133" t="e">
        <f>Othert9</f>
        <v>#REF!</v>
      </c>
    </row>
    <row r="126" spans="1:2" ht="12.75" customHeight="1">
      <c r="A126" s="133" t="s">
        <v>645</v>
      </c>
      <c r="B126" s="135" t="e">
        <f>t9casecount</f>
        <v>#REF!</v>
      </c>
    </row>
    <row r="127" spans="1:2" ht="12.75" customHeight="1">
      <c r="A127" s="133" t="s">
        <v>646</v>
      </c>
      <c r="B127" s="138" t="e">
        <f>t9yobgpercap</f>
        <v>#REF!</v>
      </c>
    </row>
    <row r="128" spans="1:2" ht="12.75" customHeight="1">
      <c r="A128" s="133" t="s">
        <v>647</v>
      </c>
      <c r="B128" s="138" t="e">
        <f>t9totpercap</f>
        <v>#REF!</v>
      </c>
    </row>
    <row r="129" spans="1:2" ht="12.75" customHeight="1">
      <c r="A129" s="133" t="s">
        <v>795</v>
      </c>
      <c r="B129" s="133" t="e">
        <f>t9nar</f>
        <v>#REF!</v>
      </c>
    </row>
    <row r="130" spans="1:2" ht="12.75" customHeight="1">
      <c r="A130" s="133" t="s">
        <v>796</v>
      </c>
      <c r="B130" s="133" t="e">
        <f>t9goal</f>
        <v>#REF!</v>
      </c>
    </row>
    <row r="131" spans="1:2" ht="12.75" customHeight="1">
      <c r="A131" s="133" t="s">
        <v>797</v>
      </c>
      <c r="B131" s="133" t="e">
        <f>t9barrier</f>
        <v>#REF!</v>
      </c>
    </row>
    <row r="132" spans="1:2" ht="12.75" customHeight="1">
      <c r="A132" s="133" t="s">
        <v>798</v>
      </c>
      <c r="B132" s="133" t="e">
        <f>t9funds</f>
        <v>#REF!</v>
      </c>
    </row>
    <row r="133" spans="1:2" ht="12.75" customHeight="1">
      <c r="A133" s="133" t="s">
        <v>799</v>
      </c>
      <c r="B133" s="133" t="e">
        <f>t9other1</f>
        <v>#REF!</v>
      </c>
    </row>
    <row r="134" spans="1:2" ht="12.75" customHeight="1">
      <c r="A134" s="133" t="s">
        <v>800</v>
      </c>
      <c r="B134" s="133" t="e">
        <f>t9other2</f>
        <v>#REF!</v>
      </c>
    </row>
    <row r="135" spans="1:2" ht="12.75" customHeight="1">
      <c r="A135" s="133" t="s">
        <v>801</v>
      </c>
      <c r="B135" s="133" t="e">
        <f>t9other3</f>
        <v>#REF!</v>
      </c>
    </row>
    <row r="136" spans="1:2" ht="12.75" customHeight="1">
      <c r="A136" s="133" t="s">
        <v>654</v>
      </c>
      <c r="B136" s="133" t="e">
        <f>Numecodet10</f>
        <v>#REF!</v>
      </c>
    </row>
    <row r="137" spans="1:2" ht="12.75" customHeight="1">
      <c r="A137" s="133" t="s">
        <v>655</v>
      </c>
      <c r="B137" s="133" t="e">
        <f>Numealtt10</f>
        <v>#REF!</v>
      </c>
    </row>
    <row r="138" spans="1:2" ht="12.75" customHeight="1">
      <c r="A138" s="133" t="s">
        <v>802</v>
      </c>
      <c r="B138" s="133" t="e">
        <f>JJCPAt10</f>
        <v>#REF!</v>
      </c>
    </row>
    <row r="139" spans="1:2" ht="12.75" customHeight="1">
      <c r="A139" s="133" t="s">
        <v>803</v>
      </c>
      <c r="B139" s="133" t="e">
        <f>Othert10</f>
        <v>#REF!</v>
      </c>
    </row>
    <row r="140" spans="1:2" ht="12.75" customHeight="1">
      <c r="A140" s="133" t="s">
        <v>686</v>
      </c>
      <c r="B140" s="135" t="e">
        <f>t10casecount</f>
        <v>#REF!</v>
      </c>
    </row>
    <row r="141" spans="1:2" ht="12.75" customHeight="1">
      <c r="A141" s="133" t="s">
        <v>687</v>
      </c>
      <c r="B141" s="138" t="e">
        <f>t10yobgpercap</f>
        <v>#REF!</v>
      </c>
    </row>
    <row r="142" spans="1:2" ht="12.75" customHeight="1">
      <c r="A142" s="133" t="s">
        <v>688</v>
      </c>
      <c r="B142" s="138" t="e">
        <f>t10totpercap</f>
        <v>#REF!</v>
      </c>
    </row>
    <row r="143" spans="1:2" ht="12.75" customHeight="1">
      <c r="A143" s="133" t="s">
        <v>804</v>
      </c>
      <c r="B143" s="133" t="e">
        <f>t10nar</f>
        <v>#REF!</v>
      </c>
    </row>
    <row r="144" spans="1:2" ht="12.75" customHeight="1">
      <c r="A144" s="133" t="s">
        <v>805</v>
      </c>
      <c r="B144" s="133" t="e">
        <f>t10goal</f>
        <v>#REF!</v>
      </c>
    </row>
    <row r="145" spans="1:2" ht="12.75" customHeight="1">
      <c r="A145" s="133" t="s">
        <v>806</v>
      </c>
      <c r="B145" s="133" t="e">
        <f>t10barrier</f>
        <v>#REF!</v>
      </c>
    </row>
    <row r="146" spans="1:2" ht="12.75" customHeight="1">
      <c r="A146" s="133" t="s">
        <v>807</v>
      </c>
      <c r="B146" s="133" t="e">
        <f>t10funds</f>
        <v>#REF!</v>
      </c>
    </row>
    <row r="147" spans="1:2" ht="12.75" customHeight="1">
      <c r="A147" s="133" t="s">
        <v>808</v>
      </c>
      <c r="B147" s="133" t="e">
        <f>t10other1</f>
        <v>#REF!</v>
      </c>
    </row>
    <row r="148" spans="1:2" ht="12.75" customHeight="1">
      <c r="A148" s="133" t="s">
        <v>809</v>
      </c>
      <c r="B148" s="133" t="e">
        <f>t10other2</f>
        <v>#REF!</v>
      </c>
    </row>
    <row r="149" spans="1:2" ht="12.75" customHeight="1">
      <c r="A149" s="133" t="s">
        <v>810</v>
      </c>
      <c r="B149" s="133" t="e">
        <f>t10other3</f>
        <v>#REF!</v>
      </c>
    </row>
    <row r="150" spans="1:2" ht="12.75" customHeight="1">
      <c r="A150" s="23" t="s">
        <v>811</v>
      </c>
      <c r="B150" s="137" t="e">
        <f>totyobgexp</f>
        <v>#REF!</v>
      </c>
    </row>
    <row r="151" spans="1:2" ht="12.75" customHeight="1">
      <c r="A151" s="23" t="s">
        <v>812</v>
      </c>
      <c r="B151" s="137" t="e">
        <f>fy1314all</f>
        <v>#REF!</v>
      </c>
    </row>
    <row r="152" spans="1:2" ht="12.75" customHeight="1">
      <c r="A152" s="23" t="s">
        <v>813</v>
      </c>
      <c r="B152" s="137" t="e">
        <f>fy1213all</f>
        <v>#REF!</v>
      </c>
    </row>
    <row r="153" spans="1:2" ht="12.75" customHeight="1">
      <c r="A153" s="133" t="s">
        <v>814</v>
      </c>
      <c r="B153" s="137" t="e">
        <f>fy1112all</f>
        <v>#REF!</v>
      </c>
    </row>
    <row r="154" spans="1:2" ht="12.75" customHeight="1">
      <c r="A154" s="133" t="s">
        <v>815</v>
      </c>
      <c r="B154" s="137" t="e">
        <f>fy1011all</f>
        <v>#REF!</v>
      </c>
    </row>
    <row r="155" spans="1:2" ht="12.75" customHeight="1">
      <c r="A155" s="133" t="s">
        <v>816</v>
      </c>
      <c r="B155" s="137" t="e">
        <f>fy0910all</f>
        <v>#REF!</v>
      </c>
    </row>
    <row r="156" spans="1:2" ht="12.75" customHeight="1">
      <c r="A156" s="133" t="s">
        <v>817</v>
      </c>
      <c r="B156" s="137" t="e">
        <f>fy0809all</f>
        <v>#REF!</v>
      </c>
    </row>
    <row r="157" spans="1:2" ht="12.75" customHeight="1">
      <c r="A157" s="133" t="s">
        <v>818</v>
      </c>
      <c r="B157" s="137" t="e">
        <f>fy0708all</f>
        <v>#REF!</v>
      </c>
    </row>
    <row r="158" spans="1:2" ht="12.75" customHeight="1">
      <c r="A158" s="23" t="s">
        <v>819</v>
      </c>
      <c r="B158" s="137" t="e">
        <f>totforall</f>
        <v>#REF!</v>
      </c>
    </row>
    <row r="159" spans="1:2" ht="12.75" customHeight="1">
      <c r="A159" s="133" t="s">
        <v>820</v>
      </c>
      <c r="B159" s="137" t="e">
        <f>discrep</f>
        <v>#REF!</v>
      </c>
    </row>
    <row r="160" spans="1:2" ht="12.75" customHeight="1">
      <c r="A160" s="133" t="s">
        <v>821</v>
      </c>
      <c r="B160" s="133" t="e">
        <f>discexpl</f>
        <v>#REF!</v>
      </c>
    </row>
    <row r="161" spans="1:2" ht="12.75" customHeight="1">
      <c r="A161" s="133" t="s">
        <v>822</v>
      </c>
      <c r="B161" s="133" t="e">
        <f>Numecodet1</f>
        <v>#REF!</v>
      </c>
    </row>
    <row r="162" spans="1:2" ht="12.75" customHeight="1">
      <c r="A162" s="133" t="s">
        <v>823</v>
      </c>
      <c r="B162" s="133" t="e">
        <f>JJCPAt1</f>
        <v>#REF!</v>
      </c>
    </row>
    <row r="163" spans="1:2" ht="12.75" customHeight="1">
      <c r="A163" s="133" t="s">
        <v>824</v>
      </c>
      <c r="B163" s="137">
        <f>t1jjcpatot</f>
        <v>0</v>
      </c>
    </row>
    <row r="164" spans="1:2" ht="12.75" customHeight="1">
      <c r="A164" s="133" t="s">
        <v>825</v>
      </c>
      <c r="B164" s="133" t="e">
        <f>Othert1</f>
        <v>#REF!</v>
      </c>
    </row>
    <row r="165" spans="1:2" ht="12.75" customHeight="1">
      <c r="A165" s="133" t="s">
        <v>826</v>
      </c>
      <c r="B165" s="137">
        <f>t1othertot</f>
        <v>0</v>
      </c>
    </row>
    <row r="166" spans="1:2" ht="12.75" customHeight="1">
      <c r="A166" s="133" t="s">
        <v>827</v>
      </c>
      <c r="B166" s="133" t="e">
        <f>Numecodet2</f>
        <v>#REF!</v>
      </c>
    </row>
    <row r="167" spans="1:2" ht="12.75" customHeight="1">
      <c r="A167" s="133" t="s">
        <v>828</v>
      </c>
      <c r="B167" s="133" t="e">
        <f>JJCPAt2</f>
        <v>#REF!</v>
      </c>
    </row>
    <row r="168" spans="1:2" ht="12.75" customHeight="1">
      <c r="A168" s="133" t="s">
        <v>829</v>
      </c>
      <c r="B168" s="137" t="e">
        <f>t2jjcpatot</f>
        <v>#REF!</v>
      </c>
    </row>
    <row r="169" spans="1:2" ht="12.75" customHeight="1">
      <c r="A169" s="133" t="s">
        <v>830</v>
      </c>
      <c r="B169" s="133" t="e">
        <f>Othert2</f>
        <v>#REF!</v>
      </c>
    </row>
    <row r="170" spans="1:2" ht="12.75" customHeight="1">
      <c r="A170" s="133" t="s">
        <v>831</v>
      </c>
      <c r="B170" s="137" t="e">
        <f>t2othertot</f>
        <v>#REF!</v>
      </c>
    </row>
    <row r="171" spans="1:2" ht="12.75" customHeight="1">
      <c r="A171" s="133" t="s">
        <v>832</v>
      </c>
      <c r="B171" s="133" t="e">
        <f>Numecodet3</f>
        <v>#REF!</v>
      </c>
    </row>
    <row r="172" spans="1:2" ht="12.75" customHeight="1">
      <c r="A172" s="133" t="s">
        <v>833</v>
      </c>
      <c r="B172" s="133" t="e">
        <f>JJCPAt3</f>
        <v>#REF!</v>
      </c>
    </row>
    <row r="173" spans="1:2" ht="12.75" customHeight="1">
      <c r="A173" s="133" t="s">
        <v>834</v>
      </c>
      <c r="B173" s="137" t="e">
        <f>t3jjcpatot</f>
        <v>#REF!</v>
      </c>
    </row>
    <row r="174" spans="1:2" ht="12.75" customHeight="1">
      <c r="A174" s="133" t="s">
        <v>835</v>
      </c>
      <c r="B174" s="133" t="e">
        <f>Othert3</f>
        <v>#REF!</v>
      </c>
    </row>
    <row r="175" spans="1:2" ht="12.75" customHeight="1">
      <c r="A175" s="133" t="s">
        <v>836</v>
      </c>
      <c r="B175" s="137" t="e">
        <f>t3othertot</f>
        <v>#REF!</v>
      </c>
    </row>
    <row r="176" spans="1:2" ht="12.75" customHeight="1">
      <c r="A176" s="133" t="s">
        <v>837</v>
      </c>
      <c r="B176" s="133" t="e">
        <f>Numecodet4</f>
        <v>#REF!</v>
      </c>
    </row>
    <row r="177" spans="1:2" ht="12.75" customHeight="1">
      <c r="A177" s="133" t="s">
        <v>838</v>
      </c>
      <c r="B177" s="133" t="e">
        <f>JJCPAt4</f>
        <v>#REF!</v>
      </c>
    </row>
    <row r="178" spans="1:2" ht="12.75" customHeight="1">
      <c r="A178" s="133" t="s">
        <v>839</v>
      </c>
      <c r="B178" s="137" t="e">
        <f>t4jjcpatot</f>
        <v>#REF!</v>
      </c>
    </row>
    <row r="179" spans="1:2" ht="12.75" customHeight="1">
      <c r="A179" s="133" t="s">
        <v>840</v>
      </c>
      <c r="B179" s="133" t="e">
        <f>Othert4</f>
        <v>#REF!</v>
      </c>
    </row>
    <row r="180" spans="1:2" ht="12.75" customHeight="1">
      <c r="A180" s="133" t="s">
        <v>841</v>
      </c>
      <c r="B180" s="137" t="e">
        <f>t4othertot</f>
        <v>#REF!</v>
      </c>
    </row>
    <row r="181" spans="1:2" ht="12.75" customHeight="1">
      <c r="A181" s="133" t="s">
        <v>842</v>
      </c>
      <c r="B181" s="133" t="e">
        <f>Numecodet5</f>
        <v>#REF!</v>
      </c>
    </row>
    <row r="182" spans="1:2" ht="12.75" customHeight="1">
      <c r="A182" s="133" t="s">
        <v>843</v>
      </c>
      <c r="B182" s="133" t="e">
        <f>JJCPAt5</f>
        <v>#REF!</v>
      </c>
    </row>
    <row r="183" spans="1:2" ht="12.75" customHeight="1">
      <c r="A183" s="133" t="s">
        <v>844</v>
      </c>
      <c r="B183" s="137" t="e">
        <f>t5jjcpatot</f>
        <v>#REF!</v>
      </c>
    </row>
    <row r="184" spans="1:2" ht="12.75" customHeight="1">
      <c r="A184" s="133" t="s">
        <v>845</v>
      </c>
      <c r="B184" s="133" t="e">
        <f>Othert5</f>
        <v>#REF!</v>
      </c>
    </row>
    <row r="185" spans="1:2" ht="12.75" customHeight="1">
      <c r="A185" s="133" t="s">
        <v>846</v>
      </c>
      <c r="B185" s="137" t="e">
        <f>t5othertot</f>
        <v>#REF!</v>
      </c>
    </row>
    <row r="186" spans="1:2" ht="12.75" customHeight="1">
      <c r="A186" s="133" t="s">
        <v>847</v>
      </c>
      <c r="B186" s="133" t="e">
        <f>Numecodet6</f>
        <v>#REF!</v>
      </c>
    </row>
    <row r="187" spans="1:2" ht="12.75" customHeight="1">
      <c r="A187" s="133" t="s">
        <v>848</v>
      </c>
      <c r="B187" s="133" t="e">
        <f>JJCPAt6</f>
        <v>#REF!</v>
      </c>
    </row>
    <row r="188" spans="1:2" ht="12.75" customHeight="1">
      <c r="A188" s="133" t="s">
        <v>849</v>
      </c>
      <c r="B188" s="137" t="e">
        <f>t6jjcpatot</f>
        <v>#REF!</v>
      </c>
    </row>
    <row r="189" spans="1:2" ht="12.75" customHeight="1">
      <c r="A189" s="133" t="s">
        <v>850</v>
      </c>
      <c r="B189" s="133" t="e">
        <f>Othert6</f>
        <v>#REF!</v>
      </c>
    </row>
    <row r="190" spans="1:2" ht="12.75" customHeight="1">
      <c r="A190" s="133" t="s">
        <v>851</v>
      </c>
      <c r="B190" s="137" t="e">
        <f>t6othertot</f>
        <v>#REF!</v>
      </c>
    </row>
    <row r="191" spans="1:2" ht="12.75" customHeight="1">
      <c r="A191" s="133" t="s">
        <v>852</v>
      </c>
      <c r="B191" s="133" t="e">
        <f>Numecodet7</f>
        <v>#REF!</v>
      </c>
    </row>
    <row r="192" spans="1:2" ht="12.75" customHeight="1">
      <c r="A192" s="133" t="s">
        <v>853</v>
      </c>
      <c r="B192" s="133" t="e">
        <f>JJCPAt7</f>
        <v>#REF!</v>
      </c>
    </row>
    <row r="193" spans="1:2" ht="12.75" customHeight="1">
      <c r="A193" s="133" t="s">
        <v>854</v>
      </c>
      <c r="B193" s="137" t="e">
        <f>t7jjcpatot</f>
        <v>#REF!</v>
      </c>
    </row>
    <row r="194" spans="1:2" ht="12.75" customHeight="1">
      <c r="A194" s="133" t="s">
        <v>855</v>
      </c>
      <c r="B194" s="133" t="e">
        <f>Othert7</f>
        <v>#REF!</v>
      </c>
    </row>
    <row r="195" spans="1:2" ht="12.75" customHeight="1">
      <c r="A195" s="133" t="s">
        <v>856</v>
      </c>
      <c r="B195" s="137" t="e">
        <f>t7othertot</f>
        <v>#REF!</v>
      </c>
    </row>
    <row r="196" spans="1:2" ht="12.75" customHeight="1">
      <c r="A196" s="133" t="s">
        <v>857</v>
      </c>
      <c r="B196" s="133" t="e">
        <f>Numecodet8</f>
        <v>#REF!</v>
      </c>
    </row>
    <row r="197" spans="1:2" ht="12.75" customHeight="1">
      <c r="A197" s="133" t="s">
        <v>858</v>
      </c>
      <c r="B197" s="133" t="e">
        <f>JJCPAt8</f>
        <v>#REF!</v>
      </c>
    </row>
    <row r="198" spans="1:2" ht="12.75" customHeight="1">
      <c r="A198" s="133" t="s">
        <v>859</v>
      </c>
      <c r="B198" s="137" t="e">
        <f>t8jjcpatot</f>
        <v>#REF!</v>
      </c>
    </row>
    <row r="199" spans="1:2" ht="12.75" customHeight="1">
      <c r="A199" s="133" t="s">
        <v>860</v>
      </c>
      <c r="B199" s="133" t="e">
        <f>Othert8</f>
        <v>#REF!</v>
      </c>
    </row>
    <row r="200" spans="1:2" ht="12.75" customHeight="1">
      <c r="A200" s="133" t="s">
        <v>861</v>
      </c>
      <c r="B200" s="137" t="e">
        <f>t8othertot</f>
        <v>#REF!</v>
      </c>
    </row>
    <row r="201" spans="1:2" ht="12.75" customHeight="1">
      <c r="A201" s="133" t="s">
        <v>862</v>
      </c>
      <c r="B201" s="133" t="e">
        <f>Numecodet9</f>
        <v>#REF!</v>
      </c>
    </row>
    <row r="202" spans="1:2" ht="12.75" customHeight="1">
      <c r="A202" s="133" t="s">
        <v>863</v>
      </c>
      <c r="B202" s="133" t="e">
        <f>JJCPAt9</f>
        <v>#REF!</v>
      </c>
    </row>
    <row r="203" spans="1:2" ht="12.75" customHeight="1">
      <c r="A203" s="133" t="s">
        <v>864</v>
      </c>
      <c r="B203" s="137" t="e">
        <f>t9jjcpatot</f>
        <v>#REF!</v>
      </c>
    </row>
    <row r="204" spans="1:2" ht="12.75" customHeight="1">
      <c r="A204" s="133" t="s">
        <v>865</v>
      </c>
      <c r="B204" s="133" t="e">
        <f>Othert9</f>
        <v>#REF!</v>
      </c>
    </row>
    <row r="205" spans="1:2" ht="12.75" customHeight="1">
      <c r="A205" s="133" t="s">
        <v>866</v>
      </c>
      <c r="B205" s="137" t="e">
        <f>t9othertot</f>
        <v>#REF!</v>
      </c>
    </row>
    <row r="206" spans="1:2" ht="12.75" customHeight="1">
      <c r="A206" s="133" t="s">
        <v>867</v>
      </c>
      <c r="B206" s="133" t="e">
        <f>Numcodet10</f>
        <v>#REF!</v>
      </c>
    </row>
    <row r="207" spans="1:2" ht="12.75" customHeight="1">
      <c r="A207" s="133" t="s">
        <v>868</v>
      </c>
      <c r="B207" s="133" t="e">
        <f>JJCPAt10</f>
        <v>#REF!</v>
      </c>
    </row>
    <row r="208" spans="1:2" ht="12.75" customHeight="1">
      <c r="A208" s="133" t="s">
        <v>869</v>
      </c>
      <c r="B208" s="137" t="e">
        <f>t10jjcpatot</f>
        <v>#REF!</v>
      </c>
    </row>
    <row r="209" spans="1:2" ht="12.75" customHeight="1">
      <c r="A209" s="133" t="s">
        <v>870</v>
      </c>
      <c r="B209" s="133" t="e">
        <f>Othert10</f>
        <v>#REF!</v>
      </c>
    </row>
    <row r="210" spans="1:2" ht="12.75" customHeight="1">
      <c r="A210" s="133" t="s">
        <v>871</v>
      </c>
      <c r="B210" s="137"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4296875" defaultRowHeight="15" customHeight="1"/>
  <cols>
    <col min="1" max="1" width="8.81640625" customWidth="1"/>
    <col min="2" max="2" width="34.453125" customWidth="1"/>
    <col min="3" max="3" width="8.81640625" customWidth="1"/>
    <col min="4" max="4" width="12.453125" customWidth="1"/>
    <col min="5" max="6" width="8.81640625" customWidth="1"/>
    <col min="7" max="7" width="27.453125" customWidth="1"/>
    <col min="8" max="26" width="8.81640625" customWidth="1"/>
  </cols>
  <sheetData>
    <row r="1" spans="1:4" ht="12.75" customHeight="1">
      <c r="A1" s="133">
        <v>1</v>
      </c>
      <c r="B1" s="99" t="s">
        <v>72</v>
      </c>
      <c r="C1" s="133">
        <v>1</v>
      </c>
      <c r="D1" s="133" t="s">
        <v>872</v>
      </c>
    </row>
    <row r="2" spans="1:4" ht="12.75" customHeight="1">
      <c r="A2" s="133">
        <v>2</v>
      </c>
      <c r="B2" s="99" t="s">
        <v>74</v>
      </c>
      <c r="C2" s="133">
        <v>2</v>
      </c>
      <c r="D2" s="133" t="s">
        <v>873</v>
      </c>
    </row>
    <row r="3" spans="1:4" ht="12.75" customHeight="1">
      <c r="A3" s="133">
        <v>3</v>
      </c>
      <c r="B3" s="99" t="s">
        <v>76</v>
      </c>
      <c r="D3" s="133" t="s">
        <v>874</v>
      </c>
    </row>
    <row r="4" spans="1:4" ht="12.75" customHeight="1">
      <c r="A4" s="133">
        <v>4</v>
      </c>
      <c r="B4" s="99" t="s">
        <v>78</v>
      </c>
      <c r="D4" s="133" t="s">
        <v>875</v>
      </c>
    </row>
    <row r="5" spans="1:4" ht="12.75" customHeight="1">
      <c r="A5" s="133">
        <v>5</v>
      </c>
      <c r="B5" s="99" t="s">
        <v>73</v>
      </c>
      <c r="D5" s="133" t="s">
        <v>876</v>
      </c>
    </row>
    <row r="6" spans="1:4" ht="12.75" customHeight="1">
      <c r="A6" s="133">
        <v>6</v>
      </c>
      <c r="B6" s="99" t="s">
        <v>75</v>
      </c>
      <c r="D6" s="133" t="s">
        <v>877</v>
      </c>
    </row>
    <row r="7" spans="1:4" ht="12.75" customHeight="1">
      <c r="A7" s="133">
        <v>7</v>
      </c>
      <c r="B7" s="99" t="s">
        <v>77</v>
      </c>
      <c r="D7" s="133" t="s">
        <v>878</v>
      </c>
    </row>
    <row r="8" spans="1:4" ht="12.75" customHeight="1">
      <c r="A8" s="133">
        <v>8</v>
      </c>
      <c r="B8" s="99" t="s">
        <v>80</v>
      </c>
      <c r="D8" s="133" t="s">
        <v>879</v>
      </c>
    </row>
    <row r="9" spans="1:4" ht="12.75" customHeight="1">
      <c r="A9" s="133">
        <v>9</v>
      </c>
      <c r="B9" s="99" t="s">
        <v>83</v>
      </c>
      <c r="D9" s="133" t="s">
        <v>880</v>
      </c>
    </row>
    <row r="10" spans="1:4" ht="12.75" customHeight="1">
      <c r="A10" s="133">
        <v>10</v>
      </c>
      <c r="B10" s="99" t="s">
        <v>85</v>
      </c>
      <c r="D10" s="133" t="s">
        <v>881</v>
      </c>
    </row>
    <row r="11" spans="1:4" ht="12.75" customHeight="1">
      <c r="A11" s="133">
        <v>11</v>
      </c>
      <c r="B11" s="99" t="s">
        <v>87</v>
      </c>
      <c r="D11" s="133" t="s">
        <v>882</v>
      </c>
    </row>
    <row r="12" spans="1:4" ht="12.75" customHeight="1">
      <c r="A12" s="133">
        <v>12</v>
      </c>
      <c r="B12" s="99" t="s">
        <v>89</v>
      </c>
      <c r="D12" s="133" t="s">
        <v>883</v>
      </c>
    </row>
    <row r="13" spans="1:4" ht="12.75" customHeight="1">
      <c r="A13" s="133">
        <v>13</v>
      </c>
      <c r="B13" s="99" t="s">
        <v>91</v>
      </c>
      <c r="D13" s="133" t="s">
        <v>884</v>
      </c>
    </row>
    <row r="14" spans="1:4" ht="12.75" customHeight="1">
      <c r="A14" s="133">
        <v>14</v>
      </c>
      <c r="B14" s="99" t="s">
        <v>93</v>
      </c>
      <c r="D14" s="133" t="s">
        <v>885</v>
      </c>
    </row>
    <row r="15" spans="1:4" ht="12.75" customHeight="1">
      <c r="A15" s="133">
        <v>15</v>
      </c>
      <c r="B15" s="99" t="s">
        <v>95</v>
      </c>
      <c r="D15" s="133" t="s">
        <v>886</v>
      </c>
    </row>
    <row r="16" spans="1:4" ht="12.75" customHeight="1">
      <c r="A16" s="133">
        <v>16</v>
      </c>
      <c r="B16" s="99" t="s">
        <v>97</v>
      </c>
      <c r="D16" s="133" t="s">
        <v>887</v>
      </c>
    </row>
    <row r="17" spans="1:7" ht="12.75" customHeight="1">
      <c r="A17" s="133">
        <v>17</v>
      </c>
      <c r="B17" s="99" t="s">
        <v>99</v>
      </c>
      <c r="D17" s="133" t="s">
        <v>888</v>
      </c>
    </row>
    <row r="18" spans="1:7" ht="12.75" customHeight="1">
      <c r="A18" s="133">
        <v>18</v>
      </c>
      <c r="B18" s="99" t="s">
        <v>101</v>
      </c>
      <c r="D18" s="133" t="s">
        <v>889</v>
      </c>
    </row>
    <row r="19" spans="1:7" ht="12.75" customHeight="1">
      <c r="A19" s="133">
        <v>19</v>
      </c>
      <c r="B19" s="99" t="s">
        <v>103</v>
      </c>
      <c r="D19" s="133" t="s">
        <v>890</v>
      </c>
    </row>
    <row r="20" spans="1:7" ht="12.75" customHeight="1">
      <c r="A20" s="133">
        <v>20</v>
      </c>
      <c r="B20" s="99" t="s">
        <v>105</v>
      </c>
      <c r="D20" s="133" t="s">
        <v>891</v>
      </c>
    </row>
    <row r="21" spans="1:7" ht="12.75" customHeight="1">
      <c r="A21" s="133">
        <v>21</v>
      </c>
      <c r="B21" s="99" t="s">
        <v>107</v>
      </c>
      <c r="D21" s="133" t="s">
        <v>892</v>
      </c>
    </row>
    <row r="22" spans="1:7" ht="12.75" customHeight="1">
      <c r="A22" s="133">
        <v>22</v>
      </c>
      <c r="B22" s="99" t="s">
        <v>109</v>
      </c>
      <c r="D22" s="133" t="s">
        <v>893</v>
      </c>
    </row>
    <row r="23" spans="1:7" ht="12.75" customHeight="1">
      <c r="A23" s="133">
        <v>23</v>
      </c>
      <c r="B23" s="99" t="s">
        <v>111</v>
      </c>
      <c r="D23" s="133" t="s">
        <v>894</v>
      </c>
    </row>
    <row r="24" spans="1:7" ht="12.75" customHeight="1">
      <c r="A24" s="133">
        <v>24</v>
      </c>
      <c r="B24" s="99" t="s">
        <v>113</v>
      </c>
      <c r="D24" s="133" t="s">
        <v>895</v>
      </c>
      <c r="F24" s="5" t="s">
        <v>896</v>
      </c>
      <c r="G24" s="99" t="s">
        <v>897</v>
      </c>
    </row>
    <row r="25" spans="1:7" ht="12.75" customHeight="1">
      <c r="A25" s="133">
        <v>25</v>
      </c>
      <c r="B25" s="99" t="s">
        <v>115</v>
      </c>
      <c r="D25" s="133" t="s">
        <v>898</v>
      </c>
      <c r="F25" s="5" t="s">
        <v>899</v>
      </c>
      <c r="G25" s="139" t="s">
        <v>900</v>
      </c>
    </row>
    <row r="26" spans="1:7" ht="12.75" customHeight="1">
      <c r="A26" s="133">
        <v>26</v>
      </c>
      <c r="B26" s="99" t="s">
        <v>222</v>
      </c>
      <c r="D26" s="133" t="s">
        <v>901</v>
      </c>
      <c r="G26" s="139" t="s">
        <v>902</v>
      </c>
    </row>
    <row r="27" spans="1:7" ht="12.75" customHeight="1">
      <c r="A27" s="133">
        <v>27</v>
      </c>
      <c r="B27" s="99" t="s">
        <v>86</v>
      </c>
      <c r="D27" s="133" t="s">
        <v>903</v>
      </c>
      <c r="G27" s="139" t="s">
        <v>904</v>
      </c>
    </row>
    <row r="28" spans="1:7" ht="12.75" customHeight="1">
      <c r="A28" s="133">
        <v>28</v>
      </c>
      <c r="B28" s="99" t="s">
        <v>88</v>
      </c>
      <c r="D28" s="133" t="s">
        <v>905</v>
      </c>
      <c r="G28" s="139" t="s">
        <v>906</v>
      </c>
    </row>
    <row r="29" spans="1:7" ht="12.75" customHeight="1">
      <c r="A29" s="133">
        <v>29</v>
      </c>
      <c r="B29" s="99" t="s">
        <v>90</v>
      </c>
      <c r="D29" s="133" t="s">
        <v>907</v>
      </c>
      <c r="G29" s="139" t="s">
        <v>908</v>
      </c>
    </row>
    <row r="30" spans="1:7" ht="12.75" customHeight="1">
      <c r="A30" s="133">
        <v>30</v>
      </c>
      <c r="B30" s="99" t="s">
        <v>92</v>
      </c>
      <c r="D30" s="133" t="s">
        <v>909</v>
      </c>
      <c r="G30" s="139" t="s">
        <v>910</v>
      </c>
    </row>
    <row r="31" spans="1:7" ht="12.75" customHeight="1">
      <c r="A31" s="133">
        <v>31</v>
      </c>
      <c r="B31" s="99" t="s">
        <v>94</v>
      </c>
      <c r="D31" s="133" t="s">
        <v>911</v>
      </c>
      <c r="G31" s="139" t="s">
        <v>912</v>
      </c>
    </row>
    <row r="32" spans="1:7" ht="12.75" customHeight="1">
      <c r="A32" s="133">
        <v>32</v>
      </c>
      <c r="B32" s="99" t="s">
        <v>96</v>
      </c>
      <c r="D32" s="133" t="s">
        <v>913</v>
      </c>
      <c r="G32" s="139" t="s">
        <v>914</v>
      </c>
    </row>
    <row r="33" spans="1:7" ht="12.75" customHeight="1">
      <c r="A33" s="133">
        <v>33</v>
      </c>
      <c r="B33" s="99" t="s">
        <v>98</v>
      </c>
      <c r="D33" s="133" t="s">
        <v>915</v>
      </c>
      <c r="G33" s="139" t="s">
        <v>916</v>
      </c>
    </row>
    <row r="34" spans="1:7" ht="12.75" customHeight="1">
      <c r="A34" s="133">
        <v>34</v>
      </c>
      <c r="B34" s="99" t="s">
        <v>100</v>
      </c>
      <c r="D34" s="133" t="s">
        <v>917</v>
      </c>
      <c r="G34" s="139" t="s">
        <v>918</v>
      </c>
    </row>
    <row r="35" spans="1:7" ht="12.75" customHeight="1">
      <c r="A35" s="133">
        <v>35</v>
      </c>
      <c r="B35" s="99" t="s">
        <v>102</v>
      </c>
      <c r="D35" s="133" t="s">
        <v>919</v>
      </c>
      <c r="G35" s="139" t="s">
        <v>920</v>
      </c>
    </row>
    <row r="36" spans="1:7" ht="12.75" customHeight="1">
      <c r="A36" s="133">
        <v>36</v>
      </c>
      <c r="B36" s="99" t="s">
        <v>104</v>
      </c>
      <c r="D36" s="133" t="s">
        <v>921</v>
      </c>
      <c r="G36" s="139" t="s">
        <v>922</v>
      </c>
    </row>
    <row r="37" spans="1:7" ht="12.75" customHeight="1">
      <c r="A37" s="133">
        <v>37</v>
      </c>
      <c r="B37" s="99" t="s">
        <v>106</v>
      </c>
      <c r="D37" s="133" t="s">
        <v>923</v>
      </c>
      <c r="G37" s="139" t="s">
        <v>924</v>
      </c>
    </row>
    <row r="38" spans="1:7" ht="12.75" customHeight="1">
      <c r="A38" s="133">
        <v>38</v>
      </c>
      <c r="B38" s="99" t="s">
        <v>108</v>
      </c>
      <c r="D38" s="133" t="s">
        <v>925</v>
      </c>
      <c r="G38" s="139" t="s">
        <v>926</v>
      </c>
    </row>
    <row r="39" spans="1:7" ht="12.75" customHeight="1">
      <c r="A39" s="133">
        <v>39</v>
      </c>
      <c r="B39" s="99" t="s">
        <v>110</v>
      </c>
      <c r="D39" s="133" t="s">
        <v>927</v>
      </c>
      <c r="G39" s="139" t="s">
        <v>928</v>
      </c>
    </row>
    <row r="40" spans="1:7" ht="12.75" customHeight="1">
      <c r="A40" s="133">
        <v>40</v>
      </c>
      <c r="B40" s="99" t="s">
        <v>112</v>
      </c>
      <c r="D40" s="133" t="s">
        <v>929</v>
      </c>
      <c r="G40" s="139" t="s">
        <v>930</v>
      </c>
    </row>
    <row r="41" spans="1:7" ht="12.75" customHeight="1">
      <c r="A41" s="133">
        <v>41</v>
      </c>
      <c r="B41" s="99" t="s">
        <v>114</v>
      </c>
      <c r="D41" s="133" t="s">
        <v>931</v>
      </c>
      <c r="G41" s="139" t="s">
        <v>932</v>
      </c>
    </row>
    <row r="42" spans="1:7" ht="12.75" customHeight="1">
      <c r="A42" s="133">
        <v>42</v>
      </c>
      <c r="B42" s="99" t="s">
        <v>116</v>
      </c>
      <c r="D42" s="133" t="s">
        <v>933</v>
      </c>
      <c r="G42" s="139" t="s">
        <v>50</v>
      </c>
    </row>
    <row r="43" spans="1:7" ht="12.75" customHeight="1">
      <c r="A43" s="133">
        <v>43</v>
      </c>
      <c r="B43" s="99" t="s">
        <v>117</v>
      </c>
      <c r="D43" s="133" t="s">
        <v>934</v>
      </c>
    </row>
    <row r="44" spans="1:7" ht="12.75" customHeight="1">
      <c r="A44" s="133">
        <v>44</v>
      </c>
      <c r="B44" s="99" t="s">
        <v>117</v>
      </c>
      <c r="D44" s="133" t="s">
        <v>935</v>
      </c>
    </row>
    <row r="45" spans="1:7" ht="12.75" customHeight="1">
      <c r="A45" s="133">
        <v>45</v>
      </c>
      <c r="B45" s="99" t="s">
        <v>119</v>
      </c>
      <c r="D45" s="133" t="s">
        <v>936</v>
      </c>
    </row>
    <row r="46" spans="1:7" ht="12.75" customHeight="1">
      <c r="A46" s="133">
        <v>46</v>
      </c>
      <c r="B46" s="99" t="s">
        <v>122</v>
      </c>
      <c r="D46" s="133" t="s">
        <v>937</v>
      </c>
    </row>
    <row r="47" spans="1:7" ht="12.75" customHeight="1">
      <c r="A47" s="133">
        <v>47</v>
      </c>
      <c r="B47" s="99" t="s">
        <v>125</v>
      </c>
      <c r="D47" s="133" t="s">
        <v>938</v>
      </c>
    </row>
    <row r="48" spans="1:7" ht="12.75" customHeight="1">
      <c r="A48" s="133">
        <v>48</v>
      </c>
      <c r="B48" s="99" t="s">
        <v>128</v>
      </c>
      <c r="D48" s="133" t="s">
        <v>939</v>
      </c>
    </row>
    <row r="49" spans="1:4" ht="12.75" customHeight="1">
      <c r="A49" s="133">
        <v>49</v>
      </c>
      <c r="B49" s="99" t="s">
        <v>120</v>
      </c>
      <c r="D49" s="133" t="s">
        <v>940</v>
      </c>
    </row>
    <row r="50" spans="1:4" ht="12.75" customHeight="1">
      <c r="A50" s="133">
        <v>50</v>
      </c>
      <c r="B50" s="99" t="s">
        <v>123</v>
      </c>
      <c r="D50" s="133" t="s">
        <v>941</v>
      </c>
    </row>
    <row r="51" spans="1:4" ht="12.75" customHeight="1">
      <c r="A51" s="133">
        <v>51</v>
      </c>
      <c r="B51" s="99" t="s">
        <v>50</v>
      </c>
      <c r="D51" s="133" t="s">
        <v>942</v>
      </c>
    </row>
    <row r="52" spans="1:4" ht="12.75" customHeight="1">
      <c r="A52" s="133">
        <v>52</v>
      </c>
      <c r="B52" s="99" t="s">
        <v>126</v>
      </c>
      <c r="D52" s="133" t="s">
        <v>943</v>
      </c>
    </row>
    <row r="53" spans="1:4" ht="12.75" customHeight="1">
      <c r="D53" s="133" t="s">
        <v>944</v>
      </c>
    </row>
    <row r="54" spans="1:4" ht="12.75" customHeight="1">
      <c r="D54" s="133" t="s">
        <v>945</v>
      </c>
    </row>
    <row r="55" spans="1:4" ht="12.75" customHeight="1">
      <c r="D55" s="133" t="s">
        <v>946</v>
      </c>
    </row>
    <row r="56" spans="1:4" ht="12.75" customHeight="1">
      <c r="D56" s="133" t="s">
        <v>947</v>
      </c>
    </row>
    <row r="57" spans="1:4" ht="12.75" customHeight="1">
      <c r="D57" s="133" t="s">
        <v>948</v>
      </c>
    </row>
    <row r="58" spans="1:4" ht="12.75" customHeight="1">
      <c r="D58" s="133" t="s">
        <v>949</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4296875" defaultRowHeight="15" customHeight="1"/>
  <cols>
    <col min="1" max="225" width="8.81640625" customWidth="1"/>
  </cols>
  <sheetData>
    <row r="1" spans="1:225" ht="12.75" customHeight="1">
      <c r="A1" s="133" t="s">
        <v>265</v>
      </c>
      <c r="B1" s="133" t="s">
        <v>266</v>
      </c>
      <c r="C1" s="133" t="s">
        <v>267</v>
      </c>
      <c r="D1" s="133" t="s">
        <v>268</v>
      </c>
      <c r="E1" s="133" t="s">
        <v>269</v>
      </c>
      <c r="F1" s="133" t="s">
        <v>270</v>
      </c>
      <c r="G1" s="133" t="s">
        <v>271</v>
      </c>
      <c r="H1" s="133" t="s">
        <v>272</v>
      </c>
      <c r="I1" s="133" t="s">
        <v>273</v>
      </c>
      <c r="J1" s="133" t="s">
        <v>274</v>
      </c>
      <c r="K1" s="133" t="s">
        <v>275</v>
      </c>
      <c r="L1" s="133" t="s">
        <v>276</v>
      </c>
      <c r="M1" s="133" t="s">
        <v>277</v>
      </c>
      <c r="N1" s="133" t="s">
        <v>278</v>
      </c>
      <c r="O1" s="133" t="s">
        <v>279</v>
      </c>
      <c r="P1" s="133" t="s">
        <v>280</v>
      </c>
      <c r="Q1" s="133" t="s">
        <v>281</v>
      </c>
      <c r="R1" s="133" t="s">
        <v>282</v>
      </c>
      <c r="S1" s="133" t="s">
        <v>283</v>
      </c>
      <c r="T1" s="133" t="s">
        <v>284</v>
      </c>
      <c r="U1" s="133" t="s">
        <v>285</v>
      </c>
      <c r="V1" s="133" t="s">
        <v>286</v>
      </c>
      <c r="W1" s="133" t="s">
        <v>287</v>
      </c>
      <c r="X1" s="133" t="s">
        <v>288</v>
      </c>
      <c r="Y1" s="133" t="s">
        <v>289</v>
      </c>
      <c r="Z1" s="133" t="s">
        <v>290</v>
      </c>
      <c r="AA1" s="133" t="s">
        <v>291</v>
      </c>
      <c r="AB1" s="133" t="s">
        <v>292</v>
      </c>
      <c r="AC1" s="133" t="s">
        <v>293</v>
      </c>
      <c r="AD1" s="133" t="s">
        <v>294</v>
      </c>
      <c r="AE1" s="133" t="s">
        <v>295</v>
      </c>
      <c r="AF1" s="133" t="s">
        <v>296</v>
      </c>
      <c r="AG1" s="133" t="s">
        <v>297</v>
      </c>
      <c r="AH1" s="133" t="s">
        <v>298</v>
      </c>
      <c r="AI1" s="133" t="s">
        <v>299</v>
      </c>
      <c r="AJ1" s="133" t="s">
        <v>300</v>
      </c>
      <c r="AK1" s="133" t="s">
        <v>301</v>
      </c>
      <c r="AL1" s="133" t="s">
        <v>302</v>
      </c>
      <c r="AM1" s="133" t="s">
        <v>303</v>
      </c>
      <c r="AN1" s="133" t="s">
        <v>304</v>
      </c>
      <c r="AO1" s="133" t="s">
        <v>305</v>
      </c>
      <c r="AP1" s="133" t="s">
        <v>306</v>
      </c>
      <c r="AQ1" s="133" t="s">
        <v>307</v>
      </c>
      <c r="AR1" s="133" t="s">
        <v>308</v>
      </c>
      <c r="AS1" s="133" t="s">
        <v>309</v>
      </c>
      <c r="AT1" s="133" t="s">
        <v>310</v>
      </c>
      <c r="AU1" s="133" t="s">
        <v>311</v>
      </c>
      <c r="AV1" s="133" t="s">
        <v>312</v>
      </c>
      <c r="AW1" s="133" t="s">
        <v>313</v>
      </c>
      <c r="AX1" s="133" t="s">
        <v>314</v>
      </c>
      <c r="AY1" s="133" t="s">
        <v>315</v>
      </c>
      <c r="AZ1" s="133" t="s">
        <v>316</v>
      </c>
      <c r="BA1" s="133" t="s">
        <v>317</v>
      </c>
      <c r="BB1" s="133" t="s">
        <v>318</v>
      </c>
      <c r="BC1" s="133" t="s">
        <v>319</v>
      </c>
      <c r="BD1" s="133" t="s">
        <v>320</v>
      </c>
      <c r="BE1" s="133" t="s">
        <v>321</v>
      </c>
      <c r="BF1" s="133" t="s">
        <v>322</v>
      </c>
      <c r="BG1" s="133" t="s">
        <v>323</v>
      </c>
      <c r="BH1" s="133" t="s">
        <v>324</v>
      </c>
      <c r="BI1" s="133" t="s">
        <v>325</v>
      </c>
      <c r="BJ1" s="133" t="s">
        <v>326</v>
      </c>
      <c r="BK1" s="133" t="s">
        <v>327</v>
      </c>
      <c r="BL1" s="133" t="s">
        <v>328</v>
      </c>
      <c r="BM1" s="133" t="s">
        <v>329</v>
      </c>
      <c r="BN1" s="133" t="s">
        <v>330</v>
      </c>
      <c r="BO1" s="133" t="s">
        <v>331</v>
      </c>
      <c r="BP1" s="133" t="s">
        <v>332</v>
      </c>
      <c r="BQ1" s="133" t="s">
        <v>333</v>
      </c>
      <c r="BR1" s="133" t="s">
        <v>334</v>
      </c>
      <c r="BS1" s="133" t="s">
        <v>335</v>
      </c>
      <c r="BT1" s="133" t="s">
        <v>336</v>
      </c>
      <c r="BU1" s="133" t="s">
        <v>337</v>
      </c>
      <c r="BV1" s="133" t="s">
        <v>338</v>
      </c>
      <c r="BW1" s="133" t="s">
        <v>339</v>
      </c>
      <c r="BX1" s="133" t="s">
        <v>340</v>
      </c>
      <c r="BY1" s="133" t="s">
        <v>341</v>
      </c>
      <c r="BZ1" s="133" t="s">
        <v>342</v>
      </c>
      <c r="CA1" s="133" t="s">
        <v>343</v>
      </c>
      <c r="CB1" s="133" t="s">
        <v>344</v>
      </c>
      <c r="CC1" s="133" t="s">
        <v>345</v>
      </c>
      <c r="CD1" s="133" t="s">
        <v>346</v>
      </c>
      <c r="CE1" s="133" t="s">
        <v>347</v>
      </c>
      <c r="CF1" s="133" t="s">
        <v>348</v>
      </c>
      <c r="CG1" s="133" t="s">
        <v>349</v>
      </c>
      <c r="CH1" s="133" t="s">
        <v>350</v>
      </c>
      <c r="CI1" s="133" t="s">
        <v>351</v>
      </c>
      <c r="CJ1" s="133" t="s">
        <v>352</v>
      </c>
      <c r="CK1" s="133" t="s">
        <v>353</v>
      </c>
      <c r="CL1" s="133" t="s">
        <v>354</v>
      </c>
      <c r="CM1" s="133" t="s">
        <v>355</v>
      </c>
      <c r="CN1" s="133" t="s">
        <v>356</v>
      </c>
      <c r="CO1" s="133" t="s">
        <v>357</v>
      </c>
      <c r="CP1" s="133" t="s">
        <v>358</v>
      </c>
      <c r="CQ1" s="133" t="s">
        <v>359</v>
      </c>
      <c r="CR1" s="133" t="s">
        <v>360</v>
      </c>
      <c r="CS1" s="133" t="s">
        <v>361</v>
      </c>
      <c r="CT1" s="133" t="s">
        <v>362</v>
      </c>
      <c r="CU1" s="133" t="s">
        <v>363</v>
      </c>
      <c r="CV1" s="133" t="s">
        <v>364</v>
      </c>
      <c r="CW1" s="133" t="s">
        <v>365</v>
      </c>
      <c r="CX1" s="133" t="s">
        <v>366</v>
      </c>
      <c r="CY1" s="133" t="s">
        <v>367</v>
      </c>
      <c r="CZ1" s="133" t="s">
        <v>368</v>
      </c>
      <c r="DA1" s="133" t="s">
        <v>369</v>
      </c>
      <c r="DB1" s="133" t="s">
        <v>370</v>
      </c>
      <c r="DC1" s="133" t="s">
        <v>371</v>
      </c>
      <c r="DD1" s="133" t="s">
        <v>372</v>
      </c>
      <c r="DE1" s="133" t="s">
        <v>373</v>
      </c>
      <c r="DF1" s="133" t="s">
        <v>374</v>
      </c>
      <c r="DG1" s="133" t="s">
        <v>375</v>
      </c>
      <c r="DH1" s="133" t="s">
        <v>376</v>
      </c>
      <c r="DI1" s="133" t="s">
        <v>377</v>
      </c>
      <c r="DJ1" s="133" t="s">
        <v>378</v>
      </c>
      <c r="DK1" s="133" t="s">
        <v>379</v>
      </c>
      <c r="DL1" s="133" t="s">
        <v>380</v>
      </c>
      <c r="DM1" s="133" t="s">
        <v>381</v>
      </c>
      <c r="DN1" s="133" t="s">
        <v>382</v>
      </c>
      <c r="DO1" s="133" t="s">
        <v>383</v>
      </c>
      <c r="DP1" s="133" t="s">
        <v>384</v>
      </c>
      <c r="DQ1" s="133" t="s">
        <v>385</v>
      </c>
      <c r="DR1" s="133" t="s">
        <v>386</v>
      </c>
      <c r="DS1" s="133" t="s">
        <v>387</v>
      </c>
      <c r="DT1" s="133" t="s">
        <v>388</v>
      </c>
      <c r="DU1" s="133" t="s">
        <v>389</v>
      </c>
      <c r="DV1" s="133" t="s">
        <v>390</v>
      </c>
      <c r="DW1" s="133" t="s">
        <v>391</v>
      </c>
      <c r="DX1" s="133" t="s">
        <v>392</v>
      </c>
      <c r="DY1" s="133" t="s">
        <v>393</v>
      </c>
      <c r="DZ1" s="133" t="s">
        <v>394</v>
      </c>
      <c r="EA1" s="133" t="s">
        <v>395</v>
      </c>
      <c r="EB1" s="133" t="s">
        <v>396</v>
      </c>
      <c r="EC1" s="133" t="s">
        <v>397</v>
      </c>
      <c r="ED1" s="133" t="s">
        <v>398</v>
      </c>
      <c r="EE1" s="133" t="s">
        <v>399</v>
      </c>
      <c r="EF1" s="133" t="s">
        <v>400</v>
      </c>
      <c r="EG1" s="133" t="s">
        <v>401</v>
      </c>
      <c r="EH1" s="133" t="s">
        <v>402</v>
      </c>
      <c r="EI1" s="133" t="s">
        <v>403</v>
      </c>
      <c r="EJ1" s="133" t="s">
        <v>404</v>
      </c>
      <c r="EK1" s="133" t="s">
        <v>405</v>
      </c>
      <c r="EL1" s="133" t="s">
        <v>406</v>
      </c>
      <c r="EM1" s="133" t="s">
        <v>407</v>
      </c>
      <c r="EN1" s="133" t="s">
        <v>408</v>
      </c>
      <c r="EO1" s="133" t="s">
        <v>409</v>
      </c>
      <c r="EP1" s="133" t="s">
        <v>410</v>
      </c>
      <c r="EQ1" s="133" t="s">
        <v>411</v>
      </c>
      <c r="ER1" s="133" t="s">
        <v>412</v>
      </c>
      <c r="ES1" s="133" t="s">
        <v>413</v>
      </c>
      <c r="ET1" s="133" t="s">
        <v>414</v>
      </c>
      <c r="EU1" s="133" t="s">
        <v>415</v>
      </c>
      <c r="EV1" s="133" t="s">
        <v>416</v>
      </c>
      <c r="EW1" s="133" t="s">
        <v>417</v>
      </c>
      <c r="EX1" s="133" t="s">
        <v>418</v>
      </c>
      <c r="EY1" s="133" t="s">
        <v>419</v>
      </c>
      <c r="EZ1" s="133" t="s">
        <v>420</v>
      </c>
      <c r="FA1" s="133" t="s">
        <v>421</v>
      </c>
      <c r="FB1" s="133" t="s">
        <v>422</v>
      </c>
      <c r="FC1" s="133" t="s">
        <v>423</v>
      </c>
      <c r="FD1" s="133" t="s">
        <v>424</v>
      </c>
      <c r="FE1" s="133" t="s">
        <v>425</v>
      </c>
      <c r="FF1" s="133" t="s">
        <v>426</v>
      </c>
      <c r="FG1" s="133" t="s">
        <v>427</v>
      </c>
      <c r="FH1" s="133" t="s">
        <v>428</v>
      </c>
      <c r="FI1" s="133" t="s">
        <v>429</v>
      </c>
      <c r="FJ1" s="133" t="s">
        <v>430</v>
      </c>
      <c r="FK1" s="133" t="s">
        <v>431</v>
      </c>
      <c r="FL1" s="133" t="s">
        <v>432</v>
      </c>
      <c r="FM1" s="133" t="s">
        <v>433</v>
      </c>
      <c r="FN1" s="133" t="s">
        <v>434</v>
      </c>
      <c r="FO1" s="133" t="s">
        <v>435</v>
      </c>
      <c r="FP1" s="133" t="s">
        <v>436</v>
      </c>
      <c r="FQ1" s="133" t="s">
        <v>437</v>
      </c>
      <c r="FR1" s="133" t="s">
        <v>438</v>
      </c>
      <c r="FS1" s="133" t="s">
        <v>439</v>
      </c>
      <c r="FT1" s="133" t="s">
        <v>440</v>
      </c>
      <c r="FU1" s="133" t="s">
        <v>441</v>
      </c>
      <c r="FV1" s="133" t="s">
        <v>442</v>
      </c>
      <c r="FW1" s="133" t="s">
        <v>443</v>
      </c>
      <c r="FX1" s="133" t="s">
        <v>444</v>
      </c>
      <c r="FY1" s="133" t="s">
        <v>445</v>
      </c>
      <c r="FZ1" s="133" t="s">
        <v>446</v>
      </c>
      <c r="GA1" s="133" t="s">
        <v>447</v>
      </c>
      <c r="GB1" s="133" t="s">
        <v>448</v>
      </c>
      <c r="GC1" s="133" t="s">
        <v>449</v>
      </c>
      <c r="GD1" s="133" t="s">
        <v>450</v>
      </c>
      <c r="GE1" s="133" t="s">
        <v>451</v>
      </c>
      <c r="GF1" s="133" t="s">
        <v>452</v>
      </c>
      <c r="GG1" s="133" t="s">
        <v>453</v>
      </c>
      <c r="GH1" s="133" t="s">
        <v>454</v>
      </c>
      <c r="GI1" s="133" t="s">
        <v>455</v>
      </c>
      <c r="GJ1" s="133" t="s">
        <v>456</v>
      </c>
      <c r="GK1" s="133" t="s">
        <v>457</v>
      </c>
      <c r="GL1" s="133" t="s">
        <v>458</v>
      </c>
      <c r="GM1" s="133" t="s">
        <v>459</v>
      </c>
      <c r="GN1" s="133" t="s">
        <v>460</v>
      </c>
      <c r="GO1" s="133" t="s">
        <v>461</v>
      </c>
      <c r="GP1" s="133" t="s">
        <v>462</v>
      </c>
      <c r="GQ1" s="133" t="s">
        <v>463</v>
      </c>
      <c r="GR1" s="133" t="s">
        <v>464</v>
      </c>
      <c r="GS1" s="133" t="s">
        <v>465</v>
      </c>
      <c r="GT1" s="133" t="s">
        <v>466</v>
      </c>
      <c r="GU1" s="133" t="s">
        <v>467</v>
      </c>
      <c r="GV1" s="133" t="s">
        <v>468</v>
      </c>
      <c r="GW1" s="133" t="s">
        <v>469</v>
      </c>
      <c r="GX1" s="133" t="s">
        <v>470</v>
      </c>
      <c r="GY1" s="133" t="s">
        <v>471</v>
      </c>
      <c r="GZ1" s="133" t="s">
        <v>472</v>
      </c>
      <c r="HA1" s="133" t="s">
        <v>473</v>
      </c>
      <c r="HB1" s="133" t="s">
        <v>474</v>
      </c>
      <c r="HC1" s="133" t="s">
        <v>475</v>
      </c>
      <c r="HD1" s="133" t="s">
        <v>476</v>
      </c>
      <c r="HE1" s="133" t="s">
        <v>477</v>
      </c>
      <c r="HF1" s="133" t="s">
        <v>478</v>
      </c>
      <c r="HG1" s="133" t="s">
        <v>479</v>
      </c>
      <c r="HH1" s="133" t="s">
        <v>480</v>
      </c>
      <c r="HI1" s="133" t="s">
        <v>481</v>
      </c>
      <c r="HJ1" s="133" t="s">
        <v>482</v>
      </c>
      <c r="HK1" s="133" t="s">
        <v>483</v>
      </c>
      <c r="HL1" s="133" t="s">
        <v>484</v>
      </c>
      <c r="HM1" s="133" t="s">
        <v>485</v>
      </c>
      <c r="HN1" s="133" t="s">
        <v>486</v>
      </c>
      <c r="HO1" s="133" t="s">
        <v>487</v>
      </c>
      <c r="HP1" s="133" t="s">
        <v>488</v>
      </c>
      <c r="HQ1" s="133" t="s">
        <v>489</v>
      </c>
    </row>
    <row r="2" spans="1:225" ht="12.75" customHeight="1">
      <c r="A2" s="6" t="str">
        <f>County</f>
        <v>Humboldt</v>
      </c>
      <c r="B2" s="134">
        <f>Reportdate</f>
        <v>45561</v>
      </c>
      <c r="C2" s="23" t="e">
        <f>Chief</f>
        <v>#REF!</v>
      </c>
      <c r="D2" s="133" t="e">
        <f>Chiefphone2</f>
        <v>#REF!</v>
      </c>
      <c r="E2" s="133" t="e">
        <f>Address</f>
        <v>#REF!</v>
      </c>
      <c r="F2" s="133" t="e">
        <f>City</f>
        <v>#REF!</v>
      </c>
      <c r="G2" s="135" t="e">
        <f>ZIP</f>
        <v>#REF!</v>
      </c>
      <c r="H2" s="133" t="e">
        <f>Chiefemail2</f>
        <v>#REF!</v>
      </c>
      <c r="I2" s="133" t="str">
        <f>primcontact</f>
        <v>Coral Sanders</v>
      </c>
      <c r="J2" s="133" t="str">
        <f>primarytitle</f>
        <v>Chief Probation Officer</v>
      </c>
      <c r="K2" s="133" t="str">
        <f>primphone</f>
        <v>707-445-7401</v>
      </c>
      <c r="L2" s="133" t="str">
        <f>preemail</f>
        <v>csanders@co.humboldt.ca.us</v>
      </c>
      <c r="M2" s="136" t="str">
        <f>seccontact</f>
        <v>Megan Gotcher</v>
      </c>
      <c r="N2" s="136" t="str">
        <f>seccontitle</f>
        <v>Juvenile Division Director</v>
      </c>
      <c r="O2" s="133" t="str">
        <f>secphone</f>
        <v>707-445-7401</v>
      </c>
      <c r="P2" s="133" t="str">
        <f>secemail</f>
        <v>mgotcher@co.humboldt.ca.us</v>
      </c>
      <c r="Q2" s="133" t="e">
        <f>t1yobgtot+t2yobgtot+t3yobgtot+t4yobgtot+t5yobgtot+t6yobgtot+t7yobgtot+t8yobgtot+t9yobgtot+t10yobgtot</f>
        <v>#REF!</v>
      </c>
      <c r="R2" s="133" t="e">
        <f>t1jjcpatot+t2jjcpatot+t3jjcpatot+t4jjcpatot+t5jjcpatot+t6jjcpatot+t7jjcpatot+t8jjcpatot+t9jjcpatot+t10jjcpatot</f>
        <v>#REF!</v>
      </c>
      <c r="S2" s="133" t="e">
        <f>t1othertot+t2othertot+t3othertot+t4othertot+t5othertot+t6othertot+t7othertot+t8othertot+t9othertot+t10othertot</f>
        <v>#REF!</v>
      </c>
      <c r="T2" s="133" t="e">
        <f>t1casecount+t2casecount+t3casecount+t4casecount+t5casecount+t6casecount+t7casecount+t8casecount+t9casecount+t10casecount</f>
        <v>#REF!</v>
      </c>
      <c r="U2" s="133" t="e">
        <f>Numecodet1</f>
        <v>#REF!</v>
      </c>
      <c r="V2" s="133" t="e">
        <f>Numealtt1</f>
        <v>#REF!</v>
      </c>
      <c r="W2" s="137">
        <f>t1yobgsal</f>
        <v>288824</v>
      </c>
      <c r="X2" s="137">
        <f>t1yobgserv</f>
        <v>493</v>
      </c>
      <c r="Y2" s="137">
        <f>t1yobgprof</f>
        <v>0</v>
      </c>
      <c r="Z2" s="137">
        <f>t1yobgcbo</f>
        <v>0</v>
      </c>
      <c r="AA2" s="137">
        <f>t1yobgequip</f>
        <v>0</v>
      </c>
      <c r="AB2" s="137">
        <f>t1yobgadmin</f>
        <v>9441</v>
      </c>
      <c r="AC2" s="137">
        <f>t1yobgothr1</f>
        <v>0</v>
      </c>
      <c r="AD2" s="137">
        <f>t1yobgothr2</f>
        <v>0</v>
      </c>
      <c r="AE2" s="137">
        <f>t1yobgothr3</f>
        <v>0</v>
      </c>
      <c r="AF2" s="137">
        <f>t1yobgtot</f>
        <v>298758</v>
      </c>
      <c r="AG2" s="137">
        <f>t1jjcpasal</f>
        <v>0</v>
      </c>
      <c r="AH2" s="137">
        <f>t1jjcpaserv</f>
        <v>0</v>
      </c>
      <c r="AI2" s="137">
        <f>t1jjcpaprof</f>
        <v>0</v>
      </c>
      <c r="AJ2" s="137">
        <f>t1jjcpacbo</f>
        <v>0</v>
      </c>
      <c r="AK2" s="137">
        <f>t1jjcpaequip</f>
        <v>0</v>
      </c>
      <c r="AL2" s="137">
        <f>t1jjcpaadmin</f>
        <v>0</v>
      </c>
      <c r="AM2" s="137">
        <f>t1jjcpaothr1</f>
        <v>0</v>
      </c>
      <c r="AN2" s="137">
        <f>t1jjcpaothr2</f>
        <v>0</v>
      </c>
      <c r="AO2" s="137">
        <f>t1jjcpaothr3</f>
        <v>0</v>
      </c>
      <c r="AP2" s="137">
        <f>t1jjcpatot</f>
        <v>0</v>
      </c>
      <c r="AQ2" s="137">
        <f>t1othersal</f>
        <v>0</v>
      </c>
      <c r="AR2" s="137">
        <f>t1otherserv</f>
        <v>0</v>
      </c>
      <c r="AS2" s="137">
        <f>t1otherprof</f>
        <v>0</v>
      </c>
      <c r="AT2" s="137">
        <f>t1othercbo</f>
        <v>0</v>
      </c>
      <c r="AU2" s="137">
        <f>t1otherequip</f>
        <v>0</v>
      </c>
      <c r="AV2" s="137">
        <f>t1otheradmin</f>
        <v>0</v>
      </c>
      <c r="AW2" s="137">
        <f>t1otherothr1</f>
        <v>0</v>
      </c>
      <c r="AX2" s="137">
        <f>t1otherothr2</f>
        <v>0</v>
      </c>
      <c r="AY2" s="137">
        <f>t1otherothr3</f>
        <v>0</v>
      </c>
      <c r="AZ2" s="137">
        <f>t1othertot</f>
        <v>0</v>
      </c>
      <c r="BA2" s="135" t="e">
        <f>t1casecount</f>
        <v>#REF!</v>
      </c>
      <c r="BB2" s="138" t="e">
        <f>t1yobgpercap</f>
        <v>#REF!</v>
      </c>
      <c r="BC2" s="138" t="e">
        <f>t1totpercap</f>
        <v>#REF!</v>
      </c>
      <c r="BD2" s="135" t="e">
        <f>t1youth1</f>
        <v>#REF!</v>
      </c>
      <c r="BE2" s="135" t="e">
        <f>t1youth2</f>
        <v>#REF!</v>
      </c>
      <c r="BF2" s="135" t="e">
        <f>t1youth3</f>
        <v>#REF!</v>
      </c>
      <c r="BG2" s="135" t="e">
        <f>t1youth4</f>
        <v>#REF!</v>
      </c>
      <c r="BH2" s="135" t="e">
        <f>t1youth5</f>
        <v>#REF!</v>
      </c>
      <c r="BI2" s="135" t="e">
        <f>t1youth6</f>
        <v>#REF!</v>
      </c>
      <c r="BJ2" s="133" t="e">
        <f>Numecodet2</f>
        <v>#REF!</v>
      </c>
      <c r="BK2" s="133" t="e">
        <f>Numealtt2</f>
        <v>#REF!</v>
      </c>
      <c r="BL2" s="137" t="e">
        <f>t2yobgsal</f>
        <v>#REF!</v>
      </c>
      <c r="BM2" s="137" t="e">
        <f>t2yobgserv</f>
        <v>#REF!</v>
      </c>
      <c r="BN2" s="137" t="e">
        <f>t2yobgprof</f>
        <v>#REF!</v>
      </c>
      <c r="BO2" s="137" t="e">
        <f>t2yobgcbo</f>
        <v>#REF!</v>
      </c>
      <c r="BP2" s="137" t="e">
        <f>t2yobgequip</f>
        <v>#REF!</v>
      </c>
      <c r="BQ2" s="137" t="e">
        <f>t2yobgadmin</f>
        <v>#REF!</v>
      </c>
      <c r="BR2" s="137" t="e">
        <f>t2yobgothr1</f>
        <v>#REF!</v>
      </c>
      <c r="BS2" s="137" t="e">
        <f>t2yobgothr2</f>
        <v>#REF!</v>
      </c>
      <c r="BT2" s="137" t="e">
        <f>t2yobgothr3</f>
        <v>#REF!</v>
      </c>
      <c r="BU2" s="137" t="e">
        <f>t2yobgtot</f>
        <v>#REF!</v>
      </c>
      <c r="BV2" s="137" t="e">
        <f>t2jjcpasal</f>
        <v>#REF!</v>
      </c>
      <c r="BW2" s="137" t="e">
        <f>t2jjcpaserv</f>
        <v>#REF!</v>
      </c>
      <c r="BX2" s="137" t="e">
        <f>t2jjcpaprof</f>
        <v>#REF!</v>
      </c>
      <c r="BY2" s="137" t="e">
        <f>t2jjcpacbo</f>
        <v>#REF!</v>
      </c>
      <c r="BZ2" s="137" t="e">
        <f>t2jjcpaequip</f>
        <v>#REF!</v>
      </c>
      <c r="CA2" s="137" t="e">
        <f>t2jjcpaadmin</f>
        <v>#REF!</v>
      </c>
      <c r="CB2" s="137" t="e">
        <f>t2jjcpaothr1</f>
        <v>#REF!</v>
      </c>
      <c r="CC2" s="137" t="e">
        <f>t2jjcpaothr2</f>
        <v>#REF!</v>
      </c>
      <c r="CD2" s="137" t="e">
        <f>t2jjcpaothr3</f>
        <v>#REF!</v>
      </c>
      <c r="CE2" s="137" t="e">
        <f>t2jjcpatot</f>
        <v>#REF!</v>
      </c>
      <c r="CF2" s="137" t="e">
        <f>t2othersal</f>
        <v>#REF!</v>
      </c>
      <c r="CG2" s="137" t="e">
        <f>t2otherserv</f>
        <v>#REF!</v>
      </c>
      <c r="CH2" s="137" t="e">
        <f>t2otherprof</f>
        <v>#REF!</v>
      </c>
      <c r="CI2" s="137" t="e">
        <f>t2othercbo</f>
        <v>#REF!</v>
      </c>
      <c r="CJ2" s="137" t="e">
        <f>t2otherequip</f>
        <v>#REF!</v>
      </c>
      <c r="CK2" s="137" t="e">
        <f>t2otheradmin</f>
        <v>#REF!</v>
      </c>
      <c r="CL2" s="137" t="e">
        <f>t2otherothr1</f>
        <v>#REF!</v>
      </c>
      <c r="CM2" s="137" t="e">
        <f>t2otherothr2</f>
        <v>#REF!</v>
      </c>
      <c r="CN2" s="137" t="e">
        <f>t2otherothr3</f>
        <v>#REF!</v>
      </c>
      <c r="CO2" s="137" t="e">
        <f>t2othertot</f>
        <v>#REF!</v>
      </c>
      <c r="CP2" s="135" t="e">
        <f>t2casecount</f>
        <v>#REF!</v>
      </c>
      <c r="CQ2" s="138" t="e">
        <f>t2yobgpercap</f>
        <v>#REF!</v>
      </c>
      <c r="CR2" s="138" t="e">
        <f>t2totpercap</f>
        <v>#REF!</v>
      </c>
      <c r="CS2" s="135" t="e">
        <f>t2youth1</f>
        <v>#REF!</v>
      </c>
      <c r="CT2" s="135" t="e">
        <f>t2youth2</f>
        <v>#REF!</v>
      </c>
      <c r="CU2" s="135" t="e">
        <f>t2youth3</f>
        <v>#REF!</v>
      </c>
      <c r="CV2" s="135" t="e">
        <f>t2youth4</f>
        <v>#REF!</v>
      </c>
      <c r="CW2" s="135" t="e">
        <f>t2youth5</f>
        <v>#REF!</v>
      </c>
      <c r="CX2" s="135" t="e">
        <f>t2youth6</f>
        <v>#REF!</v>
      </c>
      <c r="CY2" s="133" t="e">
        <f>Numecodet3</f>
        <v>#REF!</v>
      </c>
      <c r="CZ2" s="133" t="e">
        <f>Numealtt3</f>
        <v>#REF!</v>
      </c>
      <c r="DA2" s="137" t="e">
        <f>t3yobgsal</f>
        <v>#REF!</v>
      </c>
      <c r="DB2" s="137" t="e">
        <f>t3yobgserv</f>
        <v>#REF!</v>
      </c>
      <c r="DC2" s="137" t="e">
        <f>t3yobgprof</f>
        <v>#REF!</v>
      </c>
      <c r="DD2" s="137" t="e">
        <f>t3yobgcbo</f>
        <v>#REF!</v>
      </c>
      <c r="DE2" s="137" t="e">
        <f>t3yobgequip</f>
        <v>#REF!</v>
      </c>
      <c r="DF2" s="137" t="e">
        <f>t3yobgadmin</f>
        <v>#REF!</v>
      </c>
      <c r="DG2" s="137" t="e">
        <f>t3yobgothr1</f>
        <v>#REF!</v>
      </c>
      <c r="DH2" s="137" t="e">
        <f>t3yobgothr2</f>
        <v>#REF!</v>
      </c>
      <c r="DI2" s="137" t="e">
        <f>t3yobgothr3</f>
        <v>#REF!</v>
      </c>
      <c r="DJ2" s="137" t="e">
        <f>t3yobgtot</f>
        <v>#REF!</v>
      </c>
      <c r="DK2" s="137" t="e">
        <f>t3jjcpasal</f>
        <v>#REF!</v>
      </c>
      <c r="DL2" s="137" t="e">
        <f>t3jjcpaserv</f>
        <v>#REF!</v>
      </c>
      <c r="DM2" s="137" t="e">
        <f>t3jjcpaprof</f>
        <v>#REF!</v>
      </c>
      <c r="DN2" s="137" t="e">
        <f>t3jjcpacbo</f>
        <v>#REF!</v>
      </c>
      <c r="DO2" s="137" t="e">
        <f>t3jjcpaequip</f>
        <v>#REF!</v>
      </c>
      <c r="DP2" s="137" t="e">
        <f>t3jjcpaadmin</f>
        <v>#REF!</v>
      </c>
      <c r="DQ2" s="137" t="e">
        <f>t3jjcpaothr1</f>
        <v>#REF!</v>
      </c>
      <c r="DR2" s="137" t="e">
        <f>t3jjcpaothr2</f>
        <v>#REF!</v>
      </c>
      <c r="DS2" s="137" t="e">
        <f>t3jjcpaothr3</f>
        <v>#REF!</v>
      </c>
      <c r="DT2" s="137" t="e">
        <f>t3jjcpatot</f>
        <v>#REF!</v>
      </c>
      <c r="DU2" s="137" t="e">
        <f>t3othersal</f>
        <v>#REF!</v>
      </c>
      <c r="DV2" s="137" t="e">
        <f>t3otherserv</f>
        <v>#REF!</v>
      </c>
      <c r="DW2" s="137" t="e">
        <f>t3otherprof</f>
        <v>#REF!</v>
      </c>
      <c r="DX2" s="137" t="e">
        <f>t3othercbo</f>
        <v>#REF!</v>
      </c>
      <c r="DY2" s="137" t="e">
        <f>t3otherequip</f>
        <v>#REF!</v>
      </c>
      <c r="DZ2" s="137" t="e">
        <f>t3otheradmin</f>
        <v>#REF!</v>
      </c>
      <c r="EA2" s="137" t="e">
        <f>t3otherothr1</f>
        <v>#REF!</v>
      </c>
      <c r="EB2" s="137" t="e">
        <f>t3otherothr2</f>
        <v>#REF!</v>
      </c>
      <c r="EC2" s="137" t="e">
        <f>t3otherothr3</f>
        <v>#REF!</v>
      </c>
      <c r="ED2" s="137" t="e">
        <f>t3othertot</f>
        <v>#REF!</v>
      </c>
      <c r="EE2" s="135" t="e">
        <f>t3casecount</f>
        <v>#REF!</v>
      </c>
      <c r="EF2" s="138" t="e">
        <f>t3yobgpercap</f>
        <v>#REF!</v>
      </c>
      <c r="EG2" s="138" t="e">
        <f>t3totpercap</f>
        <v>#REF!</v>
      </c>
      <c r="EH2" s="135" t="e">
        <f>t3youth1</f>
        <v>#REF!</v>
      </c>
      <c r="EI2" s="135" t="e">
        <f>t3youth2</f>
        <v>#REF!</v>
      </c>
      <c r="EJ2" s="135" t="e">
        <f>t3youth3</f>
        <v>#REF!</v>
      </c>
      <c r="EK2" s="135" t="e">
        <f>t3youth4</f>
        <v>#REF!</v>
      </c>
      <c r="EL2" s="135" t="e">
        <f>t3youth5</f>
        <v>#REF!</v>
      </c>
      <c r="EM2" s="135" t="e">
        <f>t3youth6</f>
        <v>#REF!</v>
      </c>
      <c r="EN2" s="133" t="e">
        <f>Numecodet4</f>
        <v>#REF!</v>
      </c>
      <c r="EO2" s="133" t="e">
        <f>Numealtt4</f>
        <v>#REF!</v>
      </c>
      <c r="EP2" s="137" t="e">
        <f>t4yobgsal</f>
        <v>#REF!</v>
      </c>
      <c r="EQ2" s="137" t="e">
        <f>t4yobgserv</f>
        <v>#REF!</v>
      </c>
      <c r="ER2" s="137" t="e">
        <f>t4yobgprof</f>
        <v>#REF!</v>
      </c>
      <c r="ES2" s="137" t="e">
        <f>t4yobgcbo</f>
        <v>#REF!</v>
      </c>
      <c r="ET2" s="137" t="e">
        <f>t4yobgequip</f>
        <v>#REF!</v>
      </c>
      <c r="EU2" s="137" t="e">
        <f>t4yobgadmin</f>
        <v>#REF!</v>
      </c>
      <c r="EV2" s="137" t="e">
        <f>t4yobgothr1</f>
        <v>#REF!</v>
      </c>
      <c r="EW2" s="137" t="e">
        <f>t4yobgothr2</f>
        <v>#REF!</v>
      </c>
      <c r="EX2" s="137" t="e">
        <f>t4yobgothr3</f>
        <v>#REF!</v>
      </c>
      <c r="EY2" s="137" t="e">
        <f>t4yobgtot</f>
        <v>#REF!</v>
      </c>
      <c r="EZ2" s="137" t="e">
        <f>t4jjcpasal</f>
        <v>#REF!</v>
      </c>
      <c r="FA2" s="137" t="e">
        <f>t4jjcpaserv</f>
        <v>#REF!</v>
      </c>
      <c r="FB2" s="137" t="e">
        <f>t4jjcpaprof</f>
        <v>#REF!</v>
      </c>
      <c r="FC2" s="137" t="e">
        <f>t4jjcpacbo</f>
        <v>#REF!</v>
      </c>
      <c r="FD2" s="137" t="e">
        <f>t4jjcpaequip</f>
        <v>#REF!</v>
      </c>
      <c r="FE2" s="137" t="e">
        <f>t4jjcpaadmin</f>
        <v>#REF!</v>
      </c>
      <c r="FF2" s="137" t="e">
        <f>t4jjcpaothr1</f>
        <v>#REF!</v>
      </c>
      <c r="FG2" s="137" t="e">
        <f>t4jjcpaothr2</f>
        <v>#REF!</v>
      </c>
      <c r="FH2" s="137" t="e">
        <f>t4jjcpaothr3</f>
        <v>#REF!</v>
      </c>
      <c r="FI2" s="137" t="e">
        <f>t4jjcpatot</f>
        <v>#REF!</v>
      </c>
      <c r="FJ2" s="137" t="e">
        <f>t4othersal</f>
        <v>#REF!</v>
      </c>
      <c r="FK2" s="137" t="e">
        <f>t4otherserv</f>
        <v>#REF!</v>
      </c>
      <c r="FL2" s="137" t="e">
        <f>t4otherprof</f>
        <v>#REF!</v>
      </c>
      <c r="FM2" s="137" t="e">
        <f>t4othercbo</f>
        <v>#REF!</v>
      </c>
      <c r="FN2" s="137" t="e">
        <f>t4otherequip</f>
        <v>#REF!</v>
      </c>
      <c r="FO2" s="137" t="e">
        <f>t4otheradmin</f>
        <v>#REF!</v>
      </c>
      <c r="FP2" s="137" t="e">
        <f>t4otherothr1</f>
        <v>#REF!</v>
      </c>
      <c r="FQ2" s="137" t="e">
        <f>t4otherothr2</f>
        <v>#REF!</v>
      </c>
      <c r="FR2" s="137" t="e">
        <f>t4otherothr3</f>
        <v>#REF!</v>
      </c>
      <c r="FS2" s="137" t="e">
        <f>t4othertot</f>
        <v>#REF!</v>
      </c>
      <c r="FT2" s="135" t="e">
        <f>t4casecount</f>
        <v>#REF!</v>
      </c>
      <c r="FU2" s="138" t="e">
        <f>t4yobgpercap</f>
        <v>#REF!</v>
      </c>
      <c r="FV2" s="138" t="e">
        <f>t4totpercap</f>
        <v>#REF!</v>
      </c>
      <c r="FW2" s="135" t="e">
        <f>t4youth1</f>
        <v>#REF!</v>
      </c>
      <c r="FX2" s="135" t="e">
        <f>t4youth2</f>
        <v>#REF!</v>
      </c>
      <c r="FY2" s="135" t="e">
        <f>t4youth3</f>
        <v>#REF!</v>
      </c>
      <c r="FZ2" s="135" t="e">
        <f>t4youth4</f>
        <v>#REF!</v>
      </c>
      <c r="GA2" s="135" t="e">
        <f>t4youth5</f>
        <v>#REF!</v>
      </c>
      <c r="GB2" s="135" t="e">
        <f>t4youth6</f>
        <v>#REF!</v>
      </c>
      <c r="GC2" s="133" t="e">
        <f>Numecodet5</f>
        <v>#REF!</v>
      </c>
      <c r="GD2" s="133" t="e">
        <f>Numealtt5</f>
        <v>#REF!</v>
      </c>
      <c r="GE2" s="137" t="e">
        <f>t5yobgsal</f>
        <v>#REF!</v>
      </c>
      <c r="GF2" s="137" t="e">
        <f>t5yobgserv</f>
        <v>#REF!</v>
      </c>
      <c r="GG2" s="137" t="e">
        <f>t5yobgprof</f>
        <v>#REF!</v>
      </c>
      <c r="GH2" s="137" t="e">
        <f>t5yobgcbo</f>
        <v>#REF!</v>
      </c>
      <c r="GI2" s="137" t="e">
        <f>t5yobgequip</f>
        <v>#REF!</v>
      </c>
      <c r="GJ2" s="137" t="e">
        <f>t5yobgadmin</f>
        <v>#REF!</v>
      </c>
      <c r="GK2" s="137" t="e">
        <f>t5yobgothr1</f>
        <v>#REF!</v>
      </c>
      <c r="GL2" s="137" t="e">
        <f>t5yobgothr2</f>
        <v>#REF!</v>
      </c>
      <c r="GM2" s="137" t="e">
        <f>t5yobgothr3</f>
        <v>#REF!</v>
      </c>
      <c r="GN2" s="137" t="e">
        <f>t5yobgtot</f>
        <v>#REF!</v>
      </c>
      <c r="GO2" s="137" t="e">
        <f>t5jjcpasal</f>
        <v>#REF!</v>
      </c>
      <c r="GP2" s="137" t="e">
        <f>t5jjcpaserv</f>
        <v>#REF!</v>
      </c>
      <c r="GQ2" s="137" t="e">
        <f>t5jjcpaprof</f>
        <v>#REF!</v>
      </c>
      <c r="GR2" s="137" t="e">
        <f>t5jjcpacbo</f>
        <v>#REF!</v>
      </c>
      <c r="GS2" s="137" t="e">
        <f>t5jjcpaequip</f>
        <v>#REF!</v>
      </c>
      <c r="GT2" s="137" t="e">
        <f>t5jjcpaadmin</f>
        <v>#REF!</v>
      </c>
      <c r="GU2" s="137" t="e">
        <f>t5jjcpaothr1</f>
        <v>#REF!</v>
      </c>
      <c r="GV2" s="137" t="e">
        <f>t5jjcpaothr2</f>
        <v>#REF!</v>
      </c>
      <c r="GW2" s="137" t="e">
        <f>t5jjcpaothr3</f>
        <v>#REF!</v>
      </c>
      <c r="GX2" s="137" t="e">
        <f>t5jjcpatot</f>
        <v>#REF!</v>
      </c>
      <c r="GY2" s="137" t="e">
        <f>t5othersal</f>
        <v>#REF!</v>
      </c>
      <c r="GZ2" s="137" t="e">
        <f>t5otherserv</f>
        <v>#REF!</v>
      </c>
      <c r="HA2" s="137" t="e">
        <f>t5otherprof</f>
        <v>#REF!</v>
      </c>
      <c r="HB2" s="137" t="e">
        <f>t5othercbo</f>
        <v>#REF!</v>
      </c>
      <c r="HC2" s="137" t="e">
        <f>t5otherequip</f>
        <v>#REF!</v>
      </c>
      <c r="HD2" s="137" t="e">
        <f>t5otheradmin</f>
        <v>#REF!</v>
      </c>
      <c r="HE2" s="137" t="e">
        <f>t5otherothr1</f>
        <v>#REF!</v>
      </c>
      <c r="HF2" s="137" t="e">
        <f>t5otherothr2</f>
        <v>#REF!</v>
      </c>
      <c r="HG2" s="137" t="e">
        <f>t5otherothr3</f>
        <v>#REF!</v>
      </c>
      <c r="HH2" s="137" t="e">
        <f>t5othertot</f>
        <v>#REF!</v>
      </c>
      <c r="HI2" s="135" t="e">
        <f>t5casecount</f>
        <v>#REF!</v>
      </c>
      <c r="HJ2" s="138" t="e">
        <f>t5yobgpercap</f>
        <v>#REF!</v>
      </c>
      <c r="HK2" s="138" t="e">
        <f>t5totpercap</f>
        <v>#REF!</v>
      </c>
      <c r="HL2" s="135" t="e">
        <f>t5youth1</f>
        <v>#REF!</v>
      </c>
      <c r="HM2" s="135" t="e">
        <f>t5youth2</f>
        <v>#REF!</v>
      </c>
      <c r="HN2" s="135" t="e">
        <f>t5youth3</f>
        <v>#REF!</v>
      </c>
      <c r="HO2" s="135" t="e">
        <f>t5youth4</f>
        <v>#REF!</v>
      </c>
      <c r="HP2" s="135" t="e">
        <f>t5youth5</f>
        <v>#REF!</v>
      </c>
      <c r="HQ2" s="135"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4296875" defaultRowHeight="15" customHeight="1"/>
  <cols>
    <col min="1" max="225" width="8.81640625" customWidth="1"/>
  </cols>
  <sheetData>
    <row r="1" spans="1:225" ht="12.75" customHeight="1">
      <c r="A1" s="133" t="s">
        <v>265</v>
      </c>
      <c r="B1" s="133" t="s">
        <v>490</v>
      </c>
      <c r="C1" s="133" t="s">
        <v>491</v>
      </c>
      <c r="D1" s="133" t="s">
        <v>492</v>
      </c>
      <c r="E1" s="133" t="s">
        <v>493</v>
      </c>
      <c r="F1" s="133" t="s">
        <v>494</v>
      </c>
      <c r="G1" s="133" t="s">
        <v>495</v>
      </c>
      <c r="H1" s="133" t="s">
        <v>496</v>
      </c>
      <c r="I1" s="133" t="s">
        <v>497</v>
      </c>
      <c r="J1" s="133" t="s">
        <v>498</v>
      </c>
      <c r="K1" s="133" t="s">
        <v>499</v>
      </c>
      <c r="L1" s="133" t="s">
        <v>500</v>
      </c>
      <c r="M1" s="133" t="s">
        <v>501</v>
      </c>
      <c r="N1" s="133" t="s">
        <v>502</v>
      </c>
      <c r="O1" s="133" t="s">
        <v>503</v>
      </c>
      <c r="P1" s="133" t="s">
        <v>504</v>
      </c>
      <c r="Q1" s="133" t="s">
        <v>505</v>
      </c>
      <c r="R1" s="133" t="s">
        <v>506</v>
      </c>
      <c r="S1" s="133" t="s">
        <v>507</v>
      </c>
      <c r="T1" s="133" t="s">
        <v>508</v>
      </c>
      <c r="U1" s="133" t="s">
        <v>509</v>
      </c>
      <c r="V1" s="133" t="s">
        <v>510</v>
      </c>
      <c r="W1" s="133" t="s">
        <v>511</v>
      </c>
      <c r="X1" s="133" t="s">
        <v>512</v>
      </c>
      <c r="Y1" s="133" t="s">
        <v>513</v>
      </c>
      <c r="Z1" s="133" t="s">
        <v>514</v>
      </c>
      <c r="AA1" s="133" t="s">
        <v>515</v>
      </c>
      <c r="AB1" s="133" t="s">
        <v>516</v>
      </c>
      <c r="AC1" s="133" t="s">
        <v>517</v>
      </c>
      <c r="AD1" s="133" t="s">
        <v>518</v>
      </c>
      <c r="AE1" s="133" t="s">
        <v>519</v>
      </c>
      <c r="AF1" s="133" t="s">
        <v>520</v>
      </c>
      <c r="AG1" s="133" t="s">
        <v>521</v>
      </c>
      <c r="AH1" s="133" t="s">
        <v>522</v>
      </c>
      <c r="AI1" s="133" t="s">
        <v>523</v>
      </c>
      <c r="AJ1" s="133" t="s">
        <v>524</v>
      </c>
      <c r="AK1" s="133" t="s">
        <v>525</v>
      </c>
      <c r="AL1" s="133" t="s">
        <v>526</v>
      </c>
      <c r="AM1" s="133" t="s">
        <v>527</v>
      </c>
      <c r="AN1" s="133" t="s">
        <v>528</v>
      </c>
      <c r="AO1" s="133" t="s">
        <v>529</v>
      </c>
      <c r="AP1" s="133" t="s">
        <v>530</v>
      </c>
      <c r="AQ1" s="133" t="s">
        <v>531</v>
      </c>
      <c r="AR1" s="133" t="s">
        <v>532</v>
      </c>
      <c r="AS1" s="133" t="s">
        <v>533</v>
      </c>
      <c r="AT1" s="133" t="s">
        <v>534</v>
      </c>
      <c r="AU1" s="133" t="s">
        <v>535</v>
      </c>
      <c r="AV1" s="133" t="s">
        <v>536</v>
      </c>
      <c r="AW1" s="133" t="s">
        <v>537</v>
      </c>
      <c r="AX1" s="133" t="s">
        <v>538</v>
      </c>
      <c r="AY1" s="133" t="s">
        <v>539</v>
      </c>
      <c r="AZ1" s="133" t="s">
        <v>540</v>
      </c>
      <c r="BA1" s="133" t="s">
        <v>541</v>
      </c>
      <c r="BB1" s="133" t="s">
        <v>542</v>
      </c>
      <c r="BC1" s="133" t="s">
        <v>543</v>
      </c>
      <c r="BD1" s="133" t="s">
        <v>544</v>
      </c>
      <c r="BE1" s="133" t="s">
        <v>545</v>
      </c>
      <c r="BF1" s="133" t="s">
        <v>546</v>
      </c>
      <c r="BG1" s="133" t="s">
        <v>547</v>
      </c>
      <c r="BH1" s="133" t="s">
        <v>548</v>
      </c>
      <c r="BI1" s="133" t="s">
        <v>549</v>
      </c>
      <c r="BJ1" s="133" t="s">
        <v>550</v>
      </c>
      <c r="BK1" s="133" t="s">
        <v>551</v>
      </c>
      <c r="BL1" s="133" t="s">
        <v>552</v>
      </c>
      <c r="BM1" s="133" t="s">
        <v>553</v>
      </c>
      <c r="BN1" s="133" t="s">
        <v>554</v>
      </c>
      <c r="BO1" s="133" t="s">
        <v>555</v>
      </c>
      <c r="BP1" s="133" t="s">
        <v>556</v>
      </c>
      <c r="BQ1" s="133" t="s">
        <v>557</v>
      </c>
      <c r="BR1" s="133" t="s">
        <v>558</v>
      </c>
      <c r="BS1" s="133" t="s">
        <v>559</v>
      </c>
      <c r="BT1" s="133" t="s">
        <v>560</v>
      </c>
      <c r="BU1" s="133" t="s">
        <v>561</v>
      </c>
      <c r="BV1" s="133" t="s">
        <v>562</v>
      </c>
      <c r="BW1" s="133" t="s">
        <v>563</v>
      </c>
      <c r="BX1" s="133" t="s">
        <v>564</v>
      </c>
      <c r="BY1" s="133" t="s">
        <v>565</v>
      </c>
      <c r="BZ1" s="133" t="s">
        <v>566</v>
      </c>
      <c r="CA1" s="133" t="s">
        <v>567</v>
      </c>
      <c r="CB1" s="133" t="s">
        <v>568</v>
      </c>
      <c r="CC1" s="133" t="s">
        <v>569</v>
      </c>
      <c r="CD1" s="133" t="s">
        <v>570</v>
      </c>
      <c r="CE1" s="133" t="s">
        <v>571</v>
      </c>
      <c r="CF1" s="133" t="s">
        <v>572</v>
      </c>
      <c r="CG1" s="133" t="s">
        <v>573</v>
      </c>
      <c r="CH1" s="133" t="s">
        <v>574</v>
      </c>
      <c r="CI1" s="133" t="s">
        <v>575</v>
      </c>
      <c r="CJ1" s="133" t="s">
        <v>576</v>
      </c>
      <c r="CK1" s="133" t="s">
        <v>577</v>
      </c>
      <c r="CL1" s="133" t="s">
        <v>578</v>
      </c>
      <c r="CM1" s="133" t="s">
        <v>579</v>
      </c>
      <c r="CN1" s="133" t="s">
        <v>580</v>
      </c>
      <c r="CO1" s="133" t="s">
        <v>581</v>
      </c>
      <c r="CP1" s="133" t="s">
        <v>582</v>
      </c>
      <c r="CQ1" s="133" t="s">
        <v>583</v>
      </c>
      <c r="CR1" s="133" t="s">
        <v>584</v>
      </c>
      <c r="CS1" s="133" t="s">
        <v>585</v>
      </c>
      <c r="CT1" s="133" t="s">
        <v>586</v>
      </c>
      <c r="CU1" s="133" t="s">
        <v>587</v>
      </c>
      <c r="CV1" s="133" t="s">
        <v>588</v>
      </c>
      <c r="CW1" s="133" t="s">
        <v>589</v>
      </c>
      <c r="CX1" s="133" t="s">
        <v>590</v>
      </c>
      <c r="CY1" s="133" t="s">
        <v>591</v>
      </c>
      <c r="CZ1" s="133" t="s">
        <v>592</v>
      </c>
      <c r="DA1" s="133" t="s">
        <v>593</v>
      </c>
      <c r="DB1" s="133" t="s">
        <v>594</v>
      </c>
      <c r="DC1" s="133" t="s">
        <v>595</v>
      </c>
      <c r="DD1" s="133" t="s">
        <v>596</v>
      </c>
      <c r="DE1" s="133" t="s">
        <v>597</v>
      </c>
      <c r="DF1" s="133" t="s">
        <v>598</v>
      </c>
      <c r="DG1" s="133" t="s">
        <v>599</v>
      </c>
      <c r="DH1" s="133" t="s">
        <v>600</v>
      </c>
      <c r="DI1" s="133" t="s">
        <v>601</v>
      </c>
      <c r="DJ1" s="133" t="s">
        <v>602</v>
      </c>
      <c r="DK1" s="133" t="s">
        <v>603</v>
      </c>
      <c r="DL1" s="133" t="s">
        <v>604</v>
      </c>
      <c r="DM1" s="133" t="s">
        <v>605</v>
      </c>
      <c r="DN1" s="133" t="s">
        <v>606</v>
      </c>
      <c r="DO1" s="133" t="s">
        <v>607</v>
      </c>
      <c r="DP1" s="133" t="s">
        <v>608</v>
      </c>
      <c r="DQ1" s="133" t="s">
        <v>609</v>
      </c>
      <c r="DR1" s="133" t="s">
        <v>610</v>
      </c>
      <c r="DS1" s="133" t="s">
        <v>611</v>
      </c>
      <c r="DT1" s="133" t="s">
        <v>612</v>
      </c>
      <c r="DU1" s="133" t="s">
        <v>613</v>
      </c>
      <c r="DV1" s="133" t="s">
        <v>614</v>
      </c>
      <c r="DW1" s="133" t="s">
        <v>615</v>
      </c>
      <c r="DX1" s="133" t="s">
        <v>616</v>
      </c>
      <c r="DY1" s="133" t="s">
        <v>617</v>
      </c>
      <c r="DZ1" s="133" t="s">
        <v>618</v>
      </c>
      <c r="EA1" s="133" t="s">
        <v>619</v>
      </c>
      <c r="EB1" s="133" t="s">
        <v>620</v>
      </c>
      <c r="EC1" s="133" t="s">
        <v>621</v>
      </c>
      <c r="ED1" s="133" t="s">
        <v>622</v>
      </c>
      <c r="EE1" s="133" t="s">
        <v>623</v>
      </c>
      <c r="EF1" s="133" t="s">
        <v>624</v>
      </c>
      <c r="EG1" s="133" t="s">
        <v>625</v>
      </c>
      <c r="EH1" s="133" t="s">
        <v>626</v>
      </c>
      <c r="EI1" s="133" t="s">
        <v>627</v>
      </c>
      <c r="EJ1" s="133" t="s">
        <v>628</v>
      </c>
      <c r="EK1" s="133" t="s">
        <v>629</v>
      </c>
      <c r="EL1" s="133" t="s">
        <v>630</v>
      </c>
      <c r="EM1" s="133" t="s">
        <v>631</v>
      </c>
      <c r="EN1" s="133" t="s">
        <v>632</v>
      </c>
      <c r="EO1" s="133" t="s">
        <v>633</v>
      </c>
      <c r="EP1" s="133" t="s">
        <v>634</v>
      </c>
      <c r="EQ1" s="133" t="s">
        <v>635</v>
      </c>
      <c r="ER1" s="133" t="s">
        <v>636</v>
      </c>
      <c r="ES1" s="133" t="s">
        <v>637</v>
      </c>
      <c r="ET1" s="133" t="s">
        <v>638</v>
      </c>
      <c r="EU1" s="133" t="s">
        <v>639</v>
      </c>
      <c r="EV1" s="133" t="s">
        <v>640</v>
      </c>
      <c r="EW1" s="133" t="s">
        <v>641</v>
      </c>
      <c r="EX1" s="133" t="s">
        <v>642</v>
      </c>
      <c r="EY1" s="133" t="s">
        <v>643</v>
      </c>
      <c r="EZ1" s="133" t="s">
        <v>644</v>
      </c>
      <c r="FA1" s="133" t="s">
        <v>645</v>
      </c>
      <c r="FB1" s="133" t="s">
        <v>646</v>
      </c>
      <c r="FC1" s="133" t="s">
        <v>647</v>
      </c>
      <c r="FD1" s="133" t="s">
        <v>648</v>
      </c>
      <c r="FE1" s="133" t="s">
        <v>649</v>
      </c>
      <c r="FF1" s="133" t="s">
        <v>650</v>
      </c>
      <c r="FG1" s="133" t="s">
        <v>651</v>
      </c>
      <c r="FH1" s="133" t="s">
        <v>652</v>
      </c>
      <c r="FI1" s="133" t="s">
        <v>653</v>
      </c>
      <c r="FJ1" s="133" t="s">
        <v>654</v>
      </c>
      <c r="FK1" s="133" t="s">
        <v>655</v>
      </c>
      <c r="FL1" s="133" t="s">
        <v>656</v>
      </c>
      <c r="FM1" s="133" t="s">
        <v>657</v>
      </c>
      <c r="FN1" s="133" t="s">
        <v>658</v>
      </c>
      <c r="FO1" s="133" t="s">
        <v>659</v>
      </c>
      <c r="FP1" s="133" t="s">
        <v>660</v>
      </c>
      <c r="FQ1" s="133" t="s">
        <v>661</v>
      </c>
      <c r="FR1" s="133" t="s">
        <v>662</v>
      </c>
      <c r="FS1" s="133" t="s">
        <v>663</v>
      </c>
      <c r="FT1" s="133" t="s">
        <v>664</v>
      </c>
      <c r="FU1" s="133" t="s">
        <v>665</v>
      </c>
      <c r="FV1" s="133" t="s">
        <v>666</v>
      </c>
      <c r="FW1" s="133" t="s">
        <v>667</v>
      </c>
      <c r="FX1" s="133" t="s">
        <v>668</v>
      </c>
      <c r="FY1" s="133" t="s">
        <v>669</v>
      </c>
      <c r="FZ1" s="133" t="s">
        <v>670</v>
      </c>
      <c r="GA1" s="133" t="s">
        <v>671</v>
      </c>
      <c r="GB1" s="133" t="s">
        <v>672</v>
      </c>
      <c r="GC1" s="133" t="s">
        <v>673</v>
      </c>
      <c r="GD1" s="133" t="s">
        <v>674</v>
      </c>
      <c r="GE1" s="133" t="s">
        <v>675</v>
      </c>
      <c r="GF1" s="133" t="s">
        <v>676</v>
      </c>
      <c r="GG1" s="133" t="s">
        <v>677</v>
      </c>
      <c r="GH1" s="133" t="s">
        <v>678</v>
      </c>
      <c r="GI1" s="133" t="s">
        <v>679</v>
      </c>
      <c r="GJ1" s="133" t="s">
        <v>680</v>
      </c>
      <c r="GK1" s="133" t="s">
        <v>681</v>
      </c>
      <c r="GL1" s="133" t="s">
        <v>682</v>
      </c>
      <c r="GM1" s="133" t="s">
        <v>683</v>
      </c>
      <c r="GN1" s="133" t="s">
        <v>684</v>
      </c>
      <c r="GO1" s="133" t="s">
        <v>685</v>
      </c>
      <c r="GP1" s="133" t="s">
        <v>686</v>
      </c>
      <c r="GQ1" s="133" t="s">
        <v>687</v>
      </c>
      <c r="GR1" s="133" t="s">
        <v>688</v>
      </c>
      <c r="GS1" s="133" t="s">
        <v>689</v>
      </c>
      <c r="GT1" s="133" t="s">
        <v>690</v>
      </c>
      <c r="GU1" s="133" t="s">
        <v>691</v>
      </c>
      <c r="GV1" s="133" t="s">
        <v>692</v>
      </c>
      <c r="GW1" s="133" t="s">
        <v>693</v>
      </c>
      <c r="GX1" s="133" t="s">
        <v>694</v>
      </c>
      <c r="GY1" s="133" t="s">
        <v>695</v>
      </c>
      <c r="GZ1" s="133" t="s">
        <v>229</v>
      </c>
      <c r="HA1" s="133" t="s">
        <v>696</v>
      </c>
      <c r="HB1" s="133" t="s">
        <v>697</v>
      </c>
      <c r="HC1" s="133" t="s">
        <v>698</v>
      </c>
      <c r="HD1" s="133" t="s">
        <v>699</v>
      </c>
      <c r="HE1" s="133" t="s">
        <v>700</v>
      </c>
      <c r="HF1" s="133" t="s">
        <v>701</v>
      </c>
      <c r="HG1" s="133" t="s">
        <v>702</v>
      </c>
      <c r="HH1" s="133" t="s">
        <v>703</v>
      </c>
      <c r="HI1" s="133" t="s">
        <v>704</v>
      </c>
      <c r="HJ1" s="133" t="s">
        <v>705</v>
      </c>
      <c r="HK1" s="133" t="s">
        <v>706</v>
      </c>
      <c r="HL1" s="133" t="s">
        <v>707</v>
      </c>
      <c r="HM1" s="133" t="s">
        <v>708</v>
      </c>
      <c r="HN1" s="133" t="s">
        <v>709</v>
      </c>
      <c r="HO1" s="133" t="s">
        <v>710</v>
      </c>
      <c r="HP1" s="133" t="s">
        <v>711</v>
      </c>
      <c r="HQ1" s="133" t="s">
        <v>712</v>
      </c>
    </row>
    <row r="2" spans="1:225" ht="12.75" customHeight="1">
      <c r="A2" s="6" t="str">
        <f>County</f>
        <v>Humboldt</v>
      </c>
      <c r="B2" s="133" t="e">
        <f>Numecodet6</f>
        <v>#REF!</v>
      </c>
      <c r="C2" s="133" t="e">
        <f>Numealtt6</f>
        <v>#REF!</v>
      </c>
      <c r="D2" s="137" t="e">
        <f>t6yobgsal</f>
        <v>#REF!</v>
      </c>
      <c r="E2" s="137" t="e">
        <f>t6yobgserv</f>
        <v>#REF!</v>
      </c>
      <c r="F2" s="137" t="e">
        <f>t6yobgprof</f>
        <v>#REF!</v>
      </c>
      <c r="G2" s="137" t="e">
        <f>t6yobgcbo</f>
        <v>#REF!</v>
      </c>
      <c r="H2" s="137" t="e">
        <f>t6yobgequip</f>
        <v>#REF!</v>
      </c>
      <c r="I2" s="137" t="e">
        <f>t6yobgadmin</f>
        <v>#REF!</v>
      </c>
      <c r="J2" s="137" t="e">
        <f>t6yobgothr1</f>
        <v>#REF!</v>
      </c>
      <c r="K2" s="137" t="e">
        <f>t6yobgothr2</f>
        <v>#REF!</v>
      </c>
      <c r="L2" s="137" t="e">
        <f>t6yobgothr3</f>
        <v>#REF!</v>
      </c>
      <c r="M2" s="137" t="e">
        <f>t6yobgtot</f>
        <v>#REF!</v>
      </c>
      <c r="N2" s="137" t="e">
        <f>t6jjcpasal</f>
        <v>#REF!</v>
      </c>
      <c r="O2" s="137" t="e">
        <f>t6jjcpaserv</f>
        <v>#REF!</v>
      </c>
      <c r="P2" s="137" t="e">
        <f>t6jjcpaprof</f>
        <v>#REF!</v>
      </c>
      <c r="Q2" s="137" t="e">
        <f>t6jjcpacbo</f>
        <v>#REF!</v>
      </c>
      <c r="R2" s="137" t="e">
        <f>t6jjcpaequip</f>
        <v>#REF!</v>
      </c>
      <c r="S2" s="137" t="e">
        <f>t6jjcpaadmin</f>
        <v>#REF!</v>
      </c>
      <c r="T2" s="137" t="e">
        <f>t6jjcpaothr1</f>
        <v>#REF!</v>
      </c>
      <c r="U2" s="137" t="e">
        <f>t6jjcpaothr2</f>
        <v>#REF!</v>
      </c>
      <c r="V2" s="137" t="e">
        <f>t6jjcpaothr3</f>
        <v>#REF!</v>
      </c>
      <c r="W2" s="137" t="e">
        <f>t6jjcpatot</f>
        <v>#REF!</v>
      </c>
      <c r="X2" s="137" t="e">
        <f>t6othersal</f>
        <v>#REF!</v>
      </c>
      <c r="Y2" s="137" t="e">
        <f>t6otherserv</f>
        <v>#REF!</v>
      </c>
      <c r="Z2" s="137" t="e">
        <f>t6otherprof</f>
        <v>#REF!</v>
      </c>
      <c r="AA2" s="137" t="e">
        <f>t6othercbo</f>
        <v>#REF!</v>
      </c>
      <c r="AB2" s="137" t="e">
        <f>t6otherequip</f>
        <v>#REF!</v>
      </c>
      <c r="AC2" s="137" t="e">
        <f>t6otheradmin</f>
        <v>#REF!</v>
      </c>
      <c r="AD2" s="137" t="e">
        <f>t6otherothr1</f>
        <v>#REF!</v>
      </c>
      <c r="AE2" s="137" t="e">
        <f>t6otherothr2</f>
        <v>#REF!</v>
      </c>
      <c r="AF2" s="137" t="e">
        <f>t6otherothr3</f>
        <v>#REF!</v>
      </c>
      <c r="AG2" s="137" t="e">
        <f>t6othertot</f>
        <v>#REF!</v>
      </c>
      <c r="AH2" s="135" t="e">
        <f>t6casecount</f>
        <v>#REF!</v>
      </c>
      <c r="AI2" s="138" t="e">
        <f>t6yobgpercap</f>
        <v>#REF!</v>
      </c>
      <c r="AJ2" s="138" t="e">
        <f>t6totpercap</f>
        <v>#REF!</v>
      </c>
      <c r="AK2" s="135" t="e">
        <f>t6youth1</f>
        <v>#REF!</v>
      </c>
      <c r="AL2" s="135" t="e">
        <f>t6youth2</f>
        <v>#REF!</v>
      </c>
      <c r="AM2" s="135" t="e">
        <f>t6youth3</f>
        <v>#REF!</v>
      </c>
      <c r="AN2" s="135" t="e">
        <f>t6youth4</f>
        <v>#REF!</v>
      </c>
      <c r="AO2" s="135" t="e">
        <f>t6youth5</f>
        <v>#REF!</v>
      </c>
      <c r="AP2" s="135" t="e">
        <f>t6youth6</f>
        <v>#REF!</v>
      </c>
      <c r="AQ2" s="133" t="e">
        <f>Numecodet7</f>
        <v>#REF!</v>
      </c>
      <c r="AR2" s="133" t="e">
        <f>Numealtt7</f>
        <v>#REF!</v>
      </c>
      <c r="AS2" s="137" t="e">
        <f>t7yobgsal</f>
        <v>#REF!</v>
      </c>
      <c r="AT2" s="137" t="e">
        <f>t7yobgserv</f>
        <v>#REF!</v>
      </c>
      <c r="AU2" s="137" t="e">
        <f>t7yobgprof</f>
        <v>#REF!</v>
      </c>
      <c r="AV2" s="137" t="e">
        <f>t7yobgcbo</f>
        <v>#REF!</v>
      </c>
      <c r="AW2" s="137" t="e">
        <f>t7yobgequip</f>
        <v>#REF!</v>
      </c>
      <c r="AX2" s="137" t="e">
        <f>t7yobgadmin</f>
        <v>#REF!</v>
      </c>
      <c r="AY2" s="137" t="e">
        <f>t7yobgothr1</f>
        <v>#REF!</v>
      </c>
      <c r="AZ2" s="137" t="e">
        <f>t7yobgothr2</f>
        <v>#REF!</v>
      </c>
      <c r="BA2" s="137" t="e">
        <f>t7yobgothr3</f>
        <v>#REF!</v>
      </c>
      <c r="BB2" s="137" t="e">
        <f>t7yobgtot</f>
        <v>#REF!</v>
      </c>
      <c r="BC2" s="137" t="e">
        <f>t7jjcpasal</f>
        <v>#REF!</v>
      </c>
      <c r="BD2" s="137" t="e">
        <f>t7jjcpaserv</f>
        <v>#REF!</v>
      </c>
      <c r="BE2" s="137" t="e">
        <f>t7jjcpaprof</f>
        <v>#REF!</v>
      </c>
      <c r="BF2" s="137" t="e">
        <f>t7jjcpacbo</f>
        <v>#REF!</v>
      </c>
      <c r="BG2" s="137" t="e">
        <f>t7jjcpaequip</f>
        <v>#REF!</v>
      </c>
      <c r="BH2" s="137" t="e">
        <f>t7jjcpaadmin</f>
        <v>#REF!</v>
      </c>
      <c r="BI2" s="137" t="e">
        <f>t7jjcpaothr1</f>
        <v>#REF!</v>
      </c>
      <c r="BJ2" s="137" t="e">
        <f>t7jjcpaothr2</f>
        <v>#REF!</v>
      </c>
      <c r="BK2" s="137" t="e">
        <f>t7jjcpaothr3</f>
        <v>#REF!</v>
      </c>
      <c r="BL2" s="137" t="e">
        <f>t7jjcpatot</f>
        <v>#REF!</v>
      </c>
      <c r="BM2" s="137" t="e">
        <f>t7othersal</f>
        <v>#REF!</v>
      </c>
      <c r="BN2" s="137" t="e">
        <f>t7otherserv</f>
        <v>#REF!</v>
      </c>
      <c r="BO2" s="137" t="e">
        <f>t7otherprof</f>
        <v>#REF!</v>
      </c>
      <c r="BP2" s="137" t="e">
        <f>t7othercbo</f>
        <v>#REF!</v>
      </c>
      <c r="BQ2" s="137" t="e">
        <f>t7otherequip</f>
        <v>#REF!</v>
      </c>
      <c r="BR2" s="137" t="e">
        <f>t7otheradmin</f>
        <v>#REF!</v>
      </c>
      <c r="BS2" s="137" t="e">
        <f>t7otherothr1</f>
        <v>#REF!</v>
      </c>
      <c r="BT2" s="137" t="e">
        <f>t7otherothr2</f>
        <v>#REF!</v>
      </c>
      <c r="BU2" s="137" t="e">
        <f>t7otherothr3</f>
        <v>#REF!</v>
      </c>
      <c r="BV2" s="137" t="e">
        <f>t7othertot</f>
        <v>#REF!</v>
      </c>
      <c r="BW2" s="135" t="e">
        <f>t7casecount</f>
        <v>#REF!</v>
      </c>
      <c r="BX2" s="138" t="e">
        <f>t7yobgpercap</f>
        <v>#REF!</v>
      </c>
      <c r="BY2" s="138" t="e">
        <f>t7totpercap</f>
        <v>#REF!</v>
      </c>
      <c r="BZ2" s="135" t="e">
        <f>t7youth1</f>
        <v>#REF!</v>
      </c>
      <c r="CA2" s="135" t="e">
        <f>t7youth2</f>
        <v>#REF!</v>
      </c>
      <c r="CB2" s="135" t="e">
        <f>t7youth3</f>
        <v>#REF!</v>
      </c>
      <c r="CC2" s="135" t="e">
        <f>t7youth4</f>
        <v>#REF!</v>
      </c>
      <c r="CD2" s="135" t="e">
        <f>t7youth5</f>
        <v>#REF!</v>
      </c>
      <c r="CE2" s="135" t="e">
        <f>t7youth6</f>
        <v>#REF!</v>
      </c>
      <c r="CF2" s="133" t="e">
        <f>Numecodet8</f>
        <v>#REF!</v>
      </c>
      <c r="CG2" s="133" t="e">
        <f>Numealtt8</f>
        <v>#REF!</v>
      </c>
      <c r="CH2" s="137" t="e">
        <f>t8yobgsal</f>
        <v>#REF!</v>
      </c>
      <c r="CI2" s="137" t="e">
        <f>t8yobgserv</f>
        <v>#REF!</v>
      </c>
      <c r="CJ2" s="137" t="e">
        <f>t8yobgprof</f>
        <v>#REF!</v>
      </c>
      <c r="CK2" s="137" t="e">
        <f>t8yobgcbo</f>
        <v>#REF!</v>
      </c>
      <c r="CL2" s="137" t="e">
        <f>t8yobgequip</f>
        <v>#REF!</v>
      </c>
      <c r="CM2" s="137" t="e">
        <f>t8yobgadmin</f>
        <v>#REF!</v>
      </c>
      <c r="CN2" s="137" t="e">
        <f>t8yobgothr1</f>
        <v>#REF!</v>
      </c>
      <c r="CO2" s="137" t="e">
        <f>t8yobgothr2</f>
        <v>#REF!</v>
      </c>
      <c r="CP2" s="137" t="e">
        <f>t8yobgothr3</f>
        <v>#REF!</v>
      </c>
      <c r="CQ2" s="137" t="e">
        <f>t8yobgtot</f>
        <v>#REF!</v>
      </c>
      <c r="CR2" s="137" t="e">
        <f>t8jjcpasal</f>
        <v>#REF!</v>
      </c>
      <c r="CS2" s="137" t="e">
        <f>t8jjcpaserv</f>
        <v>#REF!</v>
      </c>
      <c r="CT2" s="137" t="e">
        <f>t8jjcpaprof</f>
        <v>#REF!</v>
      </c>
      <c r="CU2" s="137" t="e">
        <f>t8jjcpacbo</f>
        <v>#REF!</v>
      </c>
      <c r="CV2" s="137" t="e">
        <f>t8jjcpaequip</f>
        <v>#REF!</v>
      </c>
      <c r="CW2" s="137" t="e">
        <f>t8jjcpaadmin</f>
        <v>#REF!</v>
      </c>
      <c r="CX2" s="137" t="e">
        <f>t8jjcpaothr1</f>
        <v>#REF!</v>
      </c>
      <c r="CY2" s="137" t="e">
        <f>t8jjcpaothr2</f>
        <v>#REF!</v>
      </c>
      <c r="CZ2" s="137" t="e">
        <f>t8jjcpaothr3</f>
        <v>#REF!</v>
      </c>
      <c r="DA2" s="137" t="e">
        <f>t8jjcpatot</f>
        <v>#REF!</v>
      </c>
      <c r="DB2" s="137" t="e">
        <f>t8othersal</f>
        <v>#REF!</v>
      </c>
      <c r="DC2" s="137" t="e">
        <f>t8otherserv</f>
        <v>#REF!</v>
      </c>
      <c r="DD2" s="137" t="e">
        <f>t8otherprof</f>
        <v>#REF!</v>
      </c>
      <c r="DE2" s="137" t="e">
        <f>t8othercbo</f>
        <v>#REF!</v>
      </c>
      <c r="DF2" s="137" t="e">
        <f>t8otherequip</f>
        <v>#REF!</v>
      </c>
      <c r="DG2" s="137" t="e">
        <f>t8otheradmin</f>
        <v>#REF!</v>
      </c>
      <c r="DH2" s="137" t="e">
        <f>t8otherothr1</f>
        <v>#REF!</v>
      </c>
      <c r="DI2" s="137" t="e">
        <f>t8otherothr2</f>
        <v>#REF!</v>
      </c>
      <c r="DJ2" s="137" t="e">
        <f>t8otherothr3</f>
        <v>#REF!</v>
      </c>
      <c r="DK2" s="137" t="e">
        <f>t8othertot</f>
        <v>#REF!</v>
      </c>
      <c r="DL2" s="135" t="e">
        <f>t8casecount</f>
        <v>#REF!</v>
      </c>
      <c r="DM2" s="138" t="e">
        <f>t8yobgpercap</f>
        <v>#REF!</v>
      </c>
      <c r="DN2" s="138" t="e">
        <f>t8totpercap</f>
        <v>#REF!</v>
      </c>
      <c r="DO2" s="135" t="e">
        <f>t8youth1</f>
        <v>#REF!</v>
      </c>
      <c r="DP2" s="135" t="e">
        <f>t8youth2</f>
        <v>#REF!</v>
      </c>
      <c r="DQ2" s="135" t="e">
        <f>t8youth3</f>
        <v>#REF!</v>
      </c>
      <c r="DR2" s="135" t="e">
        <f>t8youth4</f>
        <v>#REF!</v>
      </c>
      <c r="DS2" s="135" t="e">
        <f>t8youth5</f>
        <v>#REF!</v>
      </c>
      <c r="DT2" s="135" t="e">
        <f>t8youth6</f>
        <v>#REF!</v>
      </c>
      <c r="DU2" s="133" t="e">
        <f>Numecodet9</f>
        <v>#REF!</v>
      </c>
      <c r="DV2" s="133" t="e">
        <f>Numealtt9</f>
        <v>#REF!</v>
      </c>
      <c r="DW2" s="137" t="e">
        <f>t9yobgsal</f>
        <v>#REF!</v>
      </c>
      <c r="DX2" s="137" t="e">
        <f>t9yobgserv</f>
        <v>#REF!</v>
      </c>
      <c r="DY2" s="137" t="e">
        <f>t9yobgprof</f>
        <v>#REF!</v>
      </c>
      <c r="DZ2" s="137" t="e">
        <f>t9yobgcbo</f>
        <v>#REF!</v>
      </c>
      <c r="EA2" s="137" t="e">
        <f>t9yobgequip</f>
        <v>#REF!</v>
      </c>
      <c r="EB2" s="137" t="e">
        <f>t9yobgadmin</f>
        <v>#REF!</v>
      </c>
      <c r="EC2" s="137" t="e">
        <f>t9yobgothr1</f>
        <v>#REF!</v>
      </c>
      <c r="ED2" s="137" t="e">
        <f>t9yobgothr2</f>
        <v>#REF!</v>
      </c>
      <c r="EE2" s="137" t="e">
        <f>t9yobgothr3</f>
        <v>#REF!</v>
      </c>
      <c r="EF2" s="137" t="e">
        <f>t9yobgtot</f>
        <v>#REF!</v>
      </c>
      <c r="EG2" s="137" t="e">
        <f>t9jjcpasal</f>
        <v>#REF!</v>
      </c>
      <c r="EH2" s="137" t="e">
        <f>t9jjcpaserv</f>
        <v>#REF!</v>
      </c>
      <c r="EI2" s="137" t="e">
        <f>t9jjcpaprof</f>
        <v>#REF!</v>
      </c>
      <c r="EJ2" s="137" t="e">
        <f>t9jjcpacbo</f>
        <v>#REF!</v>
      </c>
      <c r="EK2" s="137" t="e">
        <f>t9jjcpaequip</f>
        <v>#REF!</v>
      </c>
      <c r="EL2" s="137" t="e">
        <f>t9jjcpaadmin</f>
        <v>#REF!</v>
      </c>
      <c r="EM2" s="137" t="e">
        <f>t9jjcpaothr1</f>
        <v>#REF!</v>
      </c>
      <c r="EN2" s="137" t="e">
        <f>t9jjcpaothr2</f>
        <v>#REF!</v>
      </c>
      <c r="EO2" s="137" t="e">
        <f>t9jjcpaothr3</f>
        <v>#REF!</v>
      </c>
      <c r="EP2" s="137" t="e">
        <f>t9jjcpatot</f>
        <v>#REF!</v>
      </c>
      <c r="EQ2" s="137" t="e">
        <f>t9othersal</f>
        <v>#REF!</v>
      </c>
      <c r="ER2" s="137" t="e">
        <f>t9otherserv</f>
        <v>#REF!</v>
      </c>
      <c r="ES2" s="137" t="e">
        <f>t9otherprof</f>
        <v>#REF!</v>
      </c>
      <c r="ET2" s="137" t="e">
        <f>t9othercbo</f>
        <v>#REF!</v>
      </c>
      <c r="EU2" s="137" t="e">
        <f>t9otherequip</f>
        <v>#REF!</v>
      </c>
      <c r="EV2" s="137" t="e">
        <f>t9otheradmin</f>
        <v>#REF!</v>
      </c>
      <c r="EW2" s="137" t="e">
        <f>t9otherothr1</f>
        <v>#REF!</v>
      </c>
      <c r="EX2" s="137" t="e">
        <f>t9otherothr2</f>
        <v>#REF!</v>
      </c>
      <c r="EY2" s="137" t="e">
        <f>t9otherothr3</f>
        <v>#REF!</v>
      </c>
      <c r="EZ2" s="137" t="e">
        <f>t9othertot</f>
        <v>#REF!</v>
      </c>
      <c r="FA2" s="135" t="e">
        <f>t9casecount</f>
        <v>#REF!</v>
      </c>
      <c r="FB2" s="138" t="e">
        <f>t9yobgpercap</f>
        <v>#REF!</v>
      </c>
      <c r="FC2" s="138" t="e">
        <f>t9totpercap</f>
        <v>#REF!</v>
      </c>
      <c r="FD2" s="135" t="e">
        <f>t9youth1</f>
        <v>#REF!</v>
      </c>
      <c r="FE2" s="135" t="e">
        <f>t9youth2</f>
        <v>#REF!</v>
      </c>
      <c r="FF2" s="135" t="e">
        <f>t9youth3</f>
        <v>#REF!</v>
      </c>
      <c r="FG2" s="135" t="e">
        <f>t9youth4</f>
        <v>#REF!</v>
      </c>
      <c r="FH2" s="135" t="e">
        <f>t9youth5</f>
        <v>#REF!</v>
      </c>
      <c r="FI2" s="135" t="e">
        <f>t9youth6</f>
        <v>#REF!</v>
      </c>
      <c r="FJ2" s="133" t="e">
        <f>Numecodet10</f>
        <v>#REF!</v>
      </c>
      <c r="FK2" s="133" t="e">
        <f>Numealtt10</f>
        <v>#REF!</v>
      </c>
      <c r="FL2" s="137" t="e">
        <f>t10yobgsal</f>
        <v>#REF!</v>
      </c>
      <c r="FM2" s="137" t="e">
        <f>t10yobgserv</f>
        <v>#REF!</v>
      </c>
      <c r="FN2" s="137" t="e">
        <f>t10yobgprof</f>
        <v>#REF!</v>
      </c>
      <c r="FO2" s="137" t="e">
        <f>t10yobgcbo</f>
        <v>#REF!</v>
      </c>
      <c r="FP2" s="137" t="e">
        <f>t10yobgequip</f>
        <v>#REF!</v>
      </c>
      <c r="FQ2" s="137" t="e">
        <f>t10yobgadmin</f>
        <v>#REF!</v>
      </c>
      <c r="FR2" s="137" t="e">
        <f>t10yobgothr1</f>
        <v>#REF!</v>
      </c>
      <c r="FS2" s="137" t="e">
        <f>t10yobgothr2</f>
        <v>#REF!</v>
      </c>
      <c r="FT2" s="137" t="e">
        <f>t10yobgothr3</f>
        <v>#REF!</v>
      </c>
      <c r="FU2" s="137" t="e">
        <f>t10yobgtot</f>
        <v>#REF!</v>
      </c>
      <c r="FV2" s="137" t="e">
        <f>t10jjcpasal</f>
        <v>#REF!</v>
      </c>
      <c r="FW2" s="137" t="e">
        <f>t10jjcpaserv</f>
        <v>#REF!</v>
      </c>
      <c r="FX2" s="137" t="e">
        <f>t10jjcpaprof</f>
        <v>#REF!</v>
      </c>
      <c r="FY2" s="137" t="e">
        <f>t10jjcpacbo</f>
        <v>#REF!</v>
      </c>
      <c r="FZ2" s="137" t="e">
        <f>t10jjcpaequip</f>
        <v>#REF!</v>
      </c>
      <c r="GA2" s="137" t="e">
        <f>t10jjcpaadmin</f>
        <v>#REF!</v>
      </c>
      <c r="GB2" s="137" t="e">
        <f>t10jjcpaothr1</f>
        <v>#REF!</v>
      </c>
      <c r="GC2" s="137" t="e">
        <f>t10jjcpaothr2</f>
        <v>#REF!</v>
      </c>
      <c r="GD2" s="137" t="e">
        <f>t10jjcpaothr3</f>
        <v>#REF!</v>
      </c>
      <c r="GE2" s="137" t="e">
        <f>t10jjcpatot</f>
        <v>#REF!</v>
      </c>
      <c r="GF2" s="137" t="e">
        <f>t10othersal</f>
        <v>#REF!</v>
      </c>
      <c r="GG2" s="137" t="e">
        <f>t10otherserv</f>
        <v>#REF!</v>
      </c>
      <c r="GH2" s="137" t="e">
        <f>t10otherprof</f>
        <v>#REF!</v>
      </c>
      <c r="GI2" s="137" t="e">
        <f>t10othercbo</f>
        <v>#REF!</v>
      </c>
      <c r="GJ2" s="137" t="e">
        <f>t10otherequip</f>
        <v>#REF!</v>
      </c>
      <c r="GK2" s="137" t="e">
        <f>t10otheradmin</f>
        <v>#REF!</v>
      </c>
      <c r="GL2" s="137" t="e">
        <f>t10otherothr1</f>
        <v>#REF!</v>
      </c>
      <c r="GM2" s="137" t="e">
        <f>t10otherothr2</f>
        <v>#REF!</v>
      </c>
      <c r="GN2" s="137" t="e">
        <f>t10otherothr3</f>
        <v>#REF!</v>
      </c>
      <c r="GO2" s="137" t="e">
        <f>t10othertot</f>
        <v>#REF!</v>
      </c>
      <c r="GP2" s="135" t="e">
        <f>t10casecount</f>
        <v>#REF!</v>
      </c>
      <c r="GQ2" s="138" t="e">
        <f>t10yobgpercap</f>
        <v>#REF!</v>
      </c>
      <c r="GR2" s="138" t="e">
        <f>t10totpercap</f>
        <v>#REF!</v>
      </c>
      <c r="GS2" s="135" t="e">
        <f>t10youth1</f>
        <v>#REF!</v>
      </c>
      <c r="GT2" s="135" t="e">
        <f>t10youth2</f>
        <v>#REF!</v>
      </c>
      <c r="GU2" s="135" t="e">
        <f>t10youth3</f>
        <v>#REF!</v>
      </c>
      <c r="GV2" s="135" t="e">
        <f>t10youth4</f>
        <v>#REF!</v>
      </c>
      <c r="GW2" s="135" t="e">
        <f>t10youth5</f>
        <v>#REF!</v>
      </c>
      <c r="GX2" s="135" t="e">
        <f>t10youth6</f>
        <v>#REF!</v>
      </c>
      <c r="GY2" s="135">
        <f>asi</f>
        <v>0</v>
      </c>
      <c r="GZ2" s="135">
        <f>bot</f>
        <v>0</v>
      </c>
      <c r="HA2" s="135">
        <f>COMPAS</f>
        <v>0</v>
      </c>
      <c r="HB2" s="135">
        <f>JAIS</f>
        <v>0</v>
      </c>
      <c r="HC2" s="135">
        <f>LSIR</f>
        <v>0</v>
      </c>
      <c r="HD2" s="135">
        <f>MAYSI2</f>
        <v>0</v>
      </c>
      <c r="HE2" s="135">
        <f>MAYSI</f>
        <v>0</v>
      </c>
      <c r="HF2" s="135">
        <f>NIC</f>
        <v>0</v>
      </c>
      <c r="HG2" s="135">
        <f>PACT</f>
        <v>0</v>
      </c>
      <c r="HH2" s="135">
        <f>RRC</f>
        <v>0</v>
      </c>
      <c r="HI2" s="135">
        <f>YLSCMI</f>
        <v>0</v>
      </c>
      <c r="HJ2" s="135">
        <f>othrassessmentname1</f>
        <v>0</v>
      </c>
      <c r="HK2" s="135">
        <f>othrassess1</f>
        <v>0</v>
      </c>
      <c r="HL2" s="135">
        <f>othrassessmentname2</f>
        <v>0</v>
      </c>
      <c r="HM2" s="135">
        <f>othrassess2</f>
        <v>0</v>
      </c>
      <c r="HN2" s="135">
        <f>othrassessmentname3</f>
        <v>0</v>
      </c>
      <c r="HO2" s="135">
        <f>othrassess3</f>
        <v>0</v>
      </c>
      <c r="HP2" s="135">
        <f>othrassessmentname4</f>
        <v>0</v>
      </c>
      <c r="HQ2" s="135">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4296875" defaultRowHeight="15" customHeight="1"/>
  <cols>
    <col min="1" max="210" width="8.81640625" customWidth="1"/>
  </cols>
  <sheetData>
    <row r="1" spans="1:210" ht="12.75" customHeight="1">
      <c r="A1" s="133" t="s">
        <v>265</v>
      </c>
      <c r="B1" s="133" t="s">
        <v>713</v>
      </c>
      <c r="C1" s="133" t="s">
        <v>714</v>
      </c>
      <c r="D1" s="133" t="s">
        <v>715</v>
      </c>
      <c r="E1" s="133" t="s">
        <v>716</v>
      </c>
      <c r="F1" s="133" t="s">
        <v>717</v>
      </c>
      <c r="G1" s="133" t="s">
        <v>718</v>
      </c>
      <c r="H1" s="133" t="s">
        <v>719</v>
      </c>
      <c r="I1" s="133" t="s">
        <v>720</v>
      </c>
      <c r="J1" s="133" t="s">
        <v>285</v>
      </c>
      <c r="K1" s="133" t="s">
        <v>286</v>
      </c>
      <c r="L1" s="133" t="s">
        <v>721</v>
      </c>
      <c r="M1" s="133" t="s">
        <v>722</v>
      </c>
      <c r="N1" s="133" t="s">
        <v>317</v>
      </c>
      <c r="O1" s="133" t="s">
        <v>318</v>
      </c>
      <c r="P1" s="133" t="s">
        <v>319</v>
      </c>
      <c r="Q1" s="133" t="s">
        <v>723</v>
      </c>
      <c r="R1" s="133" t="s">
        <v>724</v>
      </c>
      <c r="S1" s="133" t="s">
        <v>725</v>
      </c>
      <c r="T1" s="133" t="s">
        <v>726</v>
      </c>
      <c r="U1" s="133" t="s">
        <v>727</v>
      </c>
      <c r="V1" s="133" t="s">
        <v>728</v>
      </c>
      <c r="W1" s="133" t="s">
        <v>729</v>
      </c>
      <c r="X1" s="133" t="s">
        <v>326</v>
      </c>
      <c r="Y1" s="133" t="s">
        <v>327</v>
      </c>
      <c r="Z1" s="133" t="s">
        <v>730</v>
      </c>
      <c r="AA1" s="133" t="s">
        <v>731</v>
      </c>
      <c r="AB1" s="133" t="s">
        <v>358</v>
      </c>
      <c r="AC1" s="133" t="s">
        <v>359</v>
      </c>
      <c r="AD1" s="133" t="s">
        <v>360</v>
      </c>
      <c r="AE1" s="133" t="s">
        <v>732</v>
      </c>
      <c r="AF1" s="133" t="s">
        <v>733</v>
      </c>
      <c r="AG1" s="133" t="s">
        <v>734</v>
      </c>
      <c r="AH1" s="133" t="s">
        <v>735</v>
      </c>
      <c r="AI1" s="133" t="s">
        <v>736</v>
      </c>
      <c r="AJ1" s="133" t="s">
        <v>737</v>
      </c>
      <c r="AK1" s="133" t="s">
        <v>738</v>
      </c>
      <c r="AL1" s="133" t="s">
        <v>367</v>
      </c>
      <c r="AM1" s="133" t="s">
        <v>368</v>
      </c>
      <c r="AN1" s="133" t="s">
        <v>739</v>
      </c>
      <c r="AO1" s="133" t="s">
        <v>740</v>
      </c>
      <c r="AP1" s="133" t="s">
        <v>399</v>
      </c>
      <c r="AQ1" s="133" t="s">
        <v>400</v>
      </c>
      <c r="AR1" s="133" t="s">
        <v>401</v>
      </c>
      <c r="AS1" s="133" t="s">
        <v>741</v>
      </c>
      <c r="AT1" s="133" t="s">
        <v>742</v>
      </c>
      <c r="AU1" s="133" t="s">
        <v>743</v>
      </c>
      <c r="AV1" s="133" t="s">
        <v>744</v>
      </c>
      <c r="AW1" s="133" t="s">
        <v>745</v>
      </c>
      <c r="AX1" s="133" t="s">
        <v>746</v>
      </c>
      <c r="AY1" s="133" t="s">
        <v>747</v>
      </c>
      <c r="AZ1" s="133" t="s">
        <v>408</v>
      </c>
      <c r="BA1" s="133" t="s">
        <v>409</v>
      </c>
      <c r="BB1" s="133" t="s">
        <v>748</v>
      </c>
      <c r="BC1" s="133" t="s">
        <v>749</v>
      </c>
      <c r="BD1" s="133" t="s">
        <v>440</v>
      </c>
      <c r="BE1" s="133" t="s">
        <v>441</v>
      </c>
      <c r="BF1" s="133" t="s">
        <v>442</v>
      </c>
      <c r="BG1" s="133" t="s">
        <v>750</v>
      </c>
      <c r="BH1" s="133" t="s">
        <v>751</v>
      </c>
      <c r="BI1" s="133" t="s">
        <v>752</v>
      </c>
      <c r="BJ1" s="133" t="s">
        <v>753</v>
      </c>
      <c r="BK1" s="133" t="s">
        <v>754</v>
      </c>
      <c r="BL1" s="133" t="s">
        <v>755</v>
      </c>
      <c r="BM1" s="133" t="s">
        <v>756</v>
      </c>
      <c r="BN1" s="133" t="s">
        <v>449</v>
      </c>
      <c r="BO1" s="133" t="s">
        <v>450</v>
      </c>
      <c r="BP1" s="133" t="s">
        <v>757</v>
      </c>
      <c r="BQ1" s="133" t="s">
        <v>758</v>
      </c>
      <c r="BR1" s="133" t="s">
        <v>481</v>
      </c>
      <c r="BS1" s="133" t="s">
        <v>482</v>
      </c>
      <c r="BT1" s="133" t="s">
        <v>483</v>
      </c>
      <c r="BU1" s="133" t="s">
        <v>759</v>
      </c>
      <c r="BV1" s="133" t="s">
        <v>760</v>
      </c>
      <c r="BW1" s="133" t="s">
        <v>761</v>
      </c>
      <c r="BX1" s="133" t="s">
        <v>762</v>
      </c>
      <c r="BY1" s="133" t="s">
        <v>763</v>
      </c>
      <c r="BZ1" s="133" t="s">
        <v>764</v>
      </c>
      <c r="CA1" s="133" t="s">
        <v>765</v>
      </c>
      <c r="CB1" s="133" t="s">
        <v>490</v>
      </c>
      <c r="CC1" s="133" t="s">
        <v>491</v>
      </c>
      <c r="CD1" s="133" t="s">
        <v>766</v>
      </c>
      <c r="CE1" s="133" t="s">
        <v>767</v>
      </c>
      <c r="CF1" s="133" t="s">
        <v>522</v>
      </c>
      <c r="CG1" s="133" t="s">
        <v>523</v>
      </c>
      <c r="CH1" s="133" t="s">
        <v>524</v>
      </c>
      <c r="CI1" s="133" t="s">
        <v>768</v>
      </c>
      <c r="CJ1" s="133" t="s">
        <v>769</v>
      </c>
      <c r="CK1" s="133" t="s">
        <v>770</v>
      </c>
      <c r="CL1" s="133" t="s">
        <v>771</v>
      </c>
      <c r="CM1" s="133" t="s">
        <v>772</v>
      </c>
      <c r="CN1" s="133" t="s">
        <v>773</v>
      </c>
      <c r="CO1" s="133" t="s">
        <v>774</v>
      </c>
      <c r="CP1" s="133" t="s">
        <v>531</v>
      </c>
      <c r="CQ1" s="133" t="s">
        <v>532</v>
      </c>
      <c r="CR1" s="133" t="s">
        <v>775</v>
      </c>
      <c r="CS1" s="133" t="s">
        <v>776</v>
      </c>
      <c r="CT1" s="133" t="s">
        <v>563</v>
      </c>
      <c r="CU1" s="133" t="s">
        <v>564</v>
      </c>
      <c r="CV1" s="133" t="s">
        <v>565</v>
      </c>
      <c r="CW1" s="133" t="s">
        <v>777</v>
      </c>
      <c r="CX1" s="133" t="s">
        <v>778</v>
      </c>
      <c r="CY1" s="133" t="s">
        <v>779</v>
      </c>
      <c r="CZ1" s="133" t="s">
        <v>780</v>
      </c>
      <c r="DA1" s="133" t="s">
        <v>781</v>
      </c>
      <c r="DB1" s="133" t="s">
        <v>782</v>
      </c>
      <c r="DC1" s="133" t="s">
        <v>783</v>
      </c>
      <c r="DD1" s="133" t="s">
        <v>572</v>
      </c>
      <c r="DE1" s="133" t="s">
        <v>573</v>
      </c>
      <c r="DF1" s="133" t="s">
        <v>784</v>
      </c>
      <c r="DG1" s="133" t="s">
        <v>785</v>
      </c>
      <c r="DH1" s="133" t="s">
        <v>604</v>
      </c>
      <c r="DI1" s="133" t="s">
        <v>605</v>
      </c>
      <c r="DJ1" s="133" t="s">
        <v>606</v>
      </c>
      <c r="DK1" s="133" t="s">
        <v>786</v>
      </c>
      <c r="DL1" s="133" t="s">
        <v>787</v>
      </c>
      <c r="DM1" s="133" t="s">
        <v>788</v>
      </c>
      <c r="DN1" s="133" t="s">
        <v>789</v>
      </c>
      <c r="DO1" s="133" t="s">
        <v>790</v>
      </c>
      <c r="DP1" s="133" t="s">
        <v>791</v>
      </c>
      <c r="DQ1" s="133" t="s">
        <v>792</v>
      </c>
      <c r="DR1" s="133" t="s">
        <v>613</v>
      </c>
      <c r="DS1" s="133" t="s">
        <v>614</v>
      </c>
      <c r="DT1" s="133" t="s">
        <v>793</v>
      </c>
      <c r="DU1" s="133" t="s">
        <v>794</v>
      </c>
      <c r="DV1" s="133" t="s">
        <v>645</v>
      </c>
      <c r="DW1" s="133" t="s">
        <v>646</v>
      </c>
      <c r="DX1" s="133" t="s">
        <v>647</v>
      </c>
      <c r="DY1" s="133" t="s">
        <v>795</v>
      </c>
      <c r="DZ1" s="133" t="s">
        <v>796</v>
      </c>
      <c r="EA1" s="133" t="s">
        <v>797</v>
      </c>
      <c r="EB1" s="133" t="s">
        <v>798</v>
      </c>
      <c r="EC1" s="133" t="s">
        <v>799</v>
      </c>
      <c r="ED1" s="133" t="s">
        <v>800</v>
      </c>
      <c r="EE1" s="133" t="s">
        <v>801</v>
      </c>
      <c r="EF1" s="133" t="s">
        <v>654</v>
      </c>
      <c r="EG1" s="133" t="s">
        <v>655</v>
      </c>
      <c r="EH1" s="133" t="s">
        <v>802</v>
      </c>
      <c r="EI1" s="133" t="s">
        <v>803</v>
      </c>
      <c r="EJ1" s="133" t="s">
        <v>686</v>
      </c>
      <c r="EK1" s="133" t="s">
        <v>687</v>
      </c>
      <c r="EL1" s="133" t="s">
        <v>688</v>
      </c>
      <c r="EM1" s="133" t="s">
        <v>804</v>
      </c>
      <c r="EN1" s="133" t="s">
        <v>805</v>
      </c>
      <c r="EO1" s="133" t="s">
        <v>806</v>
      </c>
      <c r="EP1" s="133" t="s">
        <v>807</v>
      </c>
      <c r="EQ1" s="133" t="s">
        <v>808</v>
      </c>
      <c r="ER1" s="133" t="s">
        <v>809</v>
      </c>
      <c r="ES1" s="133" t="s">
        <v>810</v>
      </c>
      <c r="ET1" s="23" t="s">
        <v>811</v>
      </c>
      <c r="EU1" s="23" t="s">
        <v>812</v>
      </c>
      <c r="EV1" s="23" t="s">
        <v>813</v>
      </c>
      <c r="EW1" s="133" t="s">
        <v>814</v>
      </c>
      <c r="EX1" s="133" t="s">
        <v>815</v>
      </c>
      <c r="EY1" s="133" t="s">
        <v>816</v>
      </c>
      <c r="EZ1" s="133" t="s">
        <v>817</v>
      </c>
      <c r="FA1" s="133" t="s">
        <v>818</v>
      </c>
      <c r="FB1" s="23" t="s">
        <v>819</v>
      </c>
      <c r="FC1" s="133" t="s">
        <v>820</v>
      </c>
      <c r="FD1" s="133" t="s">
        <v>821</v>
      </c>
      <c r="FE1" s="133" t="s">
        <v>822</v>
      </c>
      <c r="FF1" s="133" t="s">
        <v>823</v>
      </c>
      <c r="FG1" s="133" t="s">
        <v>824</v>
      </c>
      <c r="FH1" s="133" t="s">
        <v>825</v>
      </c>
      <c r="FI1" s="133" t="s">
        <v>826</v>
      </c>
      <c r="FJ1" s="133" t="s">
        <v>827</v>
      </c>
      <c r="FK1" s="133" t="s">
        <v>828</v>
      </c>
      <c r="FL1" s="133" t="s">
        <v>829</v>
      </c>
      <c r="FM1" s="133" t="s">
        <v>830</v>
      </c>
      <c r="FN1" s="133" t="s">
        <v>831</v>
      </c>
      <c r="FO1" s="133" t="s">
        <v>832</v>
      </c>
      <c r="FP1" s="133" t="s">
        <v>833</v>
      </c>
      <c r="FQ1" s="133" t="s">
        <v>834</v>
      </c>
      <c r="FR1" s="133" t="s">
        <v>835</v>
      </c>
      <c r="FS1" s="133" t="s">
        <v>836</v>
      </c>
      <c r="FT1" s="133" t="s">
        <v>837</v>
      </c>
      <c r="FU1" s="133" t="s">
        <v>838</v>
      </c>
      <c r="FV1" s="133" t="s">
        <v>839</v>
      </c>
      <c r="FW1" s="133" t="s">
        <v>840</v>
      </c>
      <c r="FX1" s="133" t="s">
        <v>841</v>
      </c>
      <c r="FY1" s="133" t="s">
        <v>842</v>
      </c>
      <c r="FZ1" s="133" t="s">
        <v>843</v>
      </c>
      <c r="GA1" s="133" t="s">
        <v>844</v>
      </c>
      <c r="GB1" s="133" t="s">
        <v>845</v>
      </c>
      <c r="GC1" s="133" t="s">
        <v>846</v>
      </c>
      <c r="GD1" s="133" t="s">
        <v>847</v>
      </c>
      <c r="GE1" s="133" t="s">
        <v>848</v>
      </c>
      <c r="GF1" s="133" t="s">
        <v>849</v>
      </c>
      <c r="GG1" s="133" t="s">
        <v>850</v>
      </c>
      <c r="GH1" s="133" t="s">
        <v>851</v>
      </c>
      <c r="GI1" s="133" t="s">
        <v>852</v>
      </c>
      <c r="GJ1" s="133" t="s">
        <v>853</v>
      </c>
      <c r="GK1" s="133" t="s">
        <v>854</v>
      </c>
      <c r="GL1" s="133" t="s">
        <v>855</v>
      </c>
      <c r="GM1" s="133" t="s">
        <v>856</v>
      </c>
      <c r="GN1" s="133" t="s">
        <v>857</v>
      </c>
      <c r="GO1" s="133" t="s">
        <v>858</v>
      </c>
      <c r="GP1" s="133" t="s">
        <v>859</v>
      </c>
      <c r="GQ1" s="133" t="s">
        <v>860</v>
      </c>
      <c r="GR1" s="133" t="s">
        <v>861</v>
      </c>
      <c r="GS1" s="133" t="s">
        <v>862</v>
      </c>
      <c r="GT1" s="133" t="s">
        <v>863</v>
      </c>
      <c r="GU1" s="133" t="s">
        <v>864</v>
      </c>
      <c r="GV1" s="133" t="s">
        <v>865</v>
      </c>
      <c r="GW1" s="133" t="s">
        <v>866</v>
      </c>
      <c r="GX1" s="133" t="s">
        <v>867</v>
      </c>
      <c r="GY1" s="133" t="s">
        <v>868</v>
      </c>
      <c r="GZ1" s="133" t="s">
        <v>869</v>
      </c>
      <c r="HA1" s="133" t="s">
        <v>870</v>
      </c>
      <c r="HB1" s="133" t="s">
        <v>871</v>
      </c>
    </row>
    <row r="2" spans="1:210" ht="12.75" customHeight="1">
      <c r="A2" s="6" t="str">
        <f>County</f>
        <v>Humboldt</v>
      </c>
      <c r="B2" s="135">
        <f>coord1</f>
        <v>0</v>
      </c>
      <c r="C2" s="135">
        <f>coord2</f>
        <v>0</v>
      </c>
      <c r="D2" s="135">
        <f>strategy</f>
        <v>0</v>
      </c>
      <c r="E2" s="135">
        <f>stratnar</f>
        <v>0</v>
      </c>
      <c r="F2" s="135">
        <f>stratdf</f>
        <v>0</v>
      </c>
      <c r="G2" s="135">
        <f>stratplan</f>
        <v>0</v>
      </c>
      <c r="H2" s="135">
        <f>coordnar</f>
        <v>0</v>
      </c>
      <c r="I2" s="133">
        <f>regional</f>
        <v>0</v>
      </c>
      <c r="J2" s="133" t="e">
        <f>Numecodet1</f>
        <v>#REF!</v>
      </c>
      <c r="K2" s="133" t="e">
        <f>Numealtt1</f>
        <v>#REF!</v>
      </c>
      <c r="L2" s="133" t="e">
        <f>JJCPAt1</f>
        <v>#REF!</v>
      </c>
      <c r="M2" s="133" t="e">
        <f>Othert1</f>
        <v>#REF!</v>
      </c>
      <c r="N2" s="135" t="e">
        <f>t1casecount</f>
        <v>#REF!</v>
      </c>
      <c r="O2" s="138" t="e">
        <f>t1yobgpercap</f>
        <v>#REF!</v>
      </c>
      <c r="P2" s="138" t="e">
        <f>t1totpercap</f>
        <v>#REF!</v>
      </c>
      <c r="Q2" s="133" t="e">
        <f>t1nar</f>
        <v>#REF!</v>
      </c>
      <c r="R2" s="133" t="e">
        <f>t1goal</f>
        <v>#REF!</v>
      </c>
      <c r="S2" s="133" t="e">
        <f>t1barrier</f>
        <v>#REF!</v>
      </c>
      <c r="T2" s="133" t="e">
        <f>t1funds</f>
        <v>#REF!</v>
      </c>
      <c r="U2" s="133">
        <f>t1other1</f>
        <v>0</v>
      </c>
      <c r="V2" s="133">
        <f>t1other2</f>
        <v>0</v>
      </c>
      <c r="W2" s="133">
        <f>t1other3</f>
        <v>0</v>
      </c>
      <c r="X2" s="133" t="e">
        <f>Numecodet2</f>
        <v>#REF!</v>
      </c>
      <c r="Y2" s="133" t="e">
        <f>Numealtt2</f>
        <v>#REF!</v>
      </c>
      <c r="Z2" s="133" t="e">
        <f>JJCPAt2</f>
        <v>#REF!</v>
      </c>
      <c r="AA2" s="133" t="e">
        <f>Othert2</f>
        <v>#REF!</v>
      </c>
      <c r="AB2" s="135" t="e">
        <f>t2casecount</f>
        <v>#REF!</v>
      </c>
      <c r="AC2" s="138" t="e">
        <f>t2yobgpercap</f>
        <v>#REF!</v>
      </c>
      <c r="AD2" s="138" t="e">
        <f>t2totpercap</f>
        <v>#REF!</v>
      </c>
      <c r="AE2" s="133" t="e">
        <f>t2nar</f>
        <v>#REF!</v>
      </c>
      <c r="AF2" s="133" t="e">
        <f>t2goal</f>
        <v>#REF!</v>
      </c>
      <c r="AG2" s="133" t="e">
        <f>t2barrier</f>
        <v>#REF!</v>
      </c>
      <c r="AH2" s="133" t="e">
        <f>t2funds</f>
        <v>#REF!</v>
      </c>
      <c r="AI2" s="133" t="e">
        <f>t2other1</f>
        <v>#REF!</v>
      </c>
      <c r="AJ2" s="133" t="e">
        <f>t2other2</f>
        <v>#REF!</v>
      </c>
      <c r="AK2" s="133" t="e">
        <f>t2other3</f>
        <v>#REF!</v>
      </c>
      <c r="AL2" s="133" t="e">
        <f>Numecodet3</f>
        <v>#REF!</v>
      </c>
      <c r="AM2" s="133" t="e">
        <f>Numealtt3</f>
        <v>#REF!</v>
      </c>
      <c r="AN2" s="133" t="e">
        <f>JJCPAt3</f>
        <v>#REF!</v>
      </c>
      <c r="AO2" s="133" t="e">
        <f>Othert3</f>
        <v>#REF!</v>
      </c>
      <c r="AP2" s="135" t="e">
        <f>t3casecount</f>
        <v>#REF!</v>
      </c>
      <c r="AQ2" s="138" t="e">
        <f>t3yobgpercap</f>
        <v>#REF!</v>
      </c>
      <c r="AR2" s="138" t="e">
        <f>t3totpercap</f>
        <v>#REF!</v>
      </c>
      <c r="AS2" s="133" t="e">
        <f>t3nar</f>
        <v>#REF!</v>
      </c>
      <c r="AT2" s="133" t="e">
        <f>t3goal</f>
        <v>#REF!</v>
      </c>
      <c r="AU2" s="133" t="e">
        <f>t3barrier</f>
        <v>#REF!</v>
      </c>
      <c r="AV2" s="133" t="e">
        <f>t3funds</f>
        <v>#REF!</v>
      </c>
      <c r="AW2" s="133" t="e">
        <f>t3other1</f>
        <v>#REF!</v>
      </c>
      <c r="AX2" s="133" t="e">
        <f>t3other2</f>
        <v>#REF!</v>
      </c>
      <c r="AY2" s="133" t="e">
        <f>t3other3</f>
        <v>#REF!</v>
      </c>
      <c r="AZ2" s="133" t="e">
        <f>Numecodet4</f>
        <v>#REF!</v>
      </c>
      <c r="BA2" s="133" t="e">
        <f>Numealtt4</f>
        <v>#REF!</v>
      </c>
      <c r="BB2" s="133" t="e">
        <f>JJCPAt4</f>
        <v>#REF!</v>
      </c>
      <c r="BC2" s="133" t="e">
        <f>Othert4</f>
        <v>#REF!</v>
      </c>
      <c r="BD2" s="135" t="e">
        <f>t4casecount</f>
        <v>#REF!</v>
      </c>
      <c r="BE2" s="138" t="e">
        <f>t4yobgpercap</f>
        <v>#REF!</v>
      </c>
      <c r="BF2" s="138" t="e">
        <f>t4totpercap</f>
        <v>#REF!</v>
      </c>
      <c r="BG2" s="133" t="e">
        <f>t4nar</f>
        <v>#REF!</v>
      </c>
      <c r="BH2" s="133" t="e">
        <f>t4goal</f>
        <v>#REF!</v>
      </c>
      <c r="BI2" s="133" t="e">
        <f>t4barrier</f>
        <v>#REF!</v>
      </c>
      <c r="BJ2" s="133" t="e">
        <f>t4funds</f>
        <v>#REF!</v>
      </c>
      <c r="BK2" s="133" t="e">
        <f>t4other1</f>
        <v>#REF!</v>
      </c>
      <c r="BL2" s="133" t="e">
        <f>t4other2</f>
        <v>#REF!</v>
      </c>
      <c r="BM2" s="133" t="e">
        <f>t4other3</f>
        <v>#REF!</v>
      </c>
      <c r="BN2" s="133" t="e">
        <f>Numecodet5</f>
        <v>#REF!</v>
      </c>
      <c r="BO2" s="133" t="e">
        <f>Numealtt5</f>
        <v>#REF!</v>
      </c>
      <c r="BP2" s="133" t="e">
        <f>JJCPAt5</f>
        <v>#REF!</v>
      </c>
      <c r="BQ2" s="133" t="e">
        <f>Othert5</f>
        <v>#REF!</v>
      </c>
      <c r="BR2" s="135" t="e">
        <f>t5casecount</f>
        <v>#REF!</v>
      </c>
      <c r="BS2" s="138" t="e">
        <f>t5yobgpercap</f>
        <v>#REF!</v>
      </c>
      <c r="BT2" s="138" t="e">
        <f>t5totpercap</f>
        <v>#REF!</v>
      </c>
      <c r="BU2" s="133" t="e">
        <f>t5nar</f>
        <v>#REF!</v>
      </c>
      <c r="BV2" s="133" t="e">
        <f>t5goal</f>
        <v>#REF!</v>
      </c>
      <c r="BW2" s="133" t="e">
        <f>t5barrier</f>
        <v>#REF!</v>
      </c>
      <c r="BX2" s="133" t="e">
        <f>t5funds</f>
        <v>#REF!</v>
      </c>
      <c r="BY2" s="133" t="e">
        <f>t5other1</f>
        <v>#REF!</v>
      </c>
      <c r="BZ2" s="133" t="e">
        <f>t5other2</f>
        <v>#REF!</v>
      </c>
      <c r="CA2" s="133" t="e">
        <f>t5other3</f>
        <v>#REF!</v>
      </c>
      <c r="CB2" s="133" t="e">
        <f>Numecodet6</f>
        <v>#REF!</v>
      </c>
      <c r="CC2" s="133" t="e">
        <f>Numealtt6</f>
        <v>#REF!</v>
      </c>
      <c r="CD2" s="133" t="e">
        <f>JJCPAt6</f>
        <v>#REF!</v>
      </c>
      <c r="CE2" s="133" t="e">
        <f>Othert6</f>
        <v>#REF!</v>
      </c>
      <c r="CF2" s="135" t="e">
        <f>t6casecount</f>
        <v>#REF!</v>
      </c>
      <c r="CG2" s="138" t="e">
        <f>t6yobgpercap</f>
        <v>#REF!</v>
      </c>
      <c r="CH2" s="138" t="e">
        <f>t6totpercap</f>
        <v>#REF!</v>
      </c>
      <c r="CI2" s="133" t="e">
        <f>t6nar</f>
        <v>#REF!</v>
      </c>
      <c r="CJ2" s="133" t="e">
        <f>t6goal</f>
        <v>#REF!</v>
      </c>
      <c r="CK2" s="133" t="e">
        <f>t6barrier</f>
        <v>#REF!</v>
      </c>
      <c r="CL2" s="133" t="e">
        <f>t6funds</f>
        <v>#REF!</v>
      </c>
      <c r="CM2" s="133" t="e">
        <f>t6other1</f>
        <v>#REF!</v>
      </c>
      <c r="CN2" s="133" t="e">
        <f>t6other2</f>
        <v>#REF!</v>
      </c>
      <c r="CO2" s="133" t="e">
        <f>t6other3</f>
        <v>#REF!</v>
      </c>
      <c r="CP2" s="133" t="e">
        <f>Numecodet7</f>
        <v>#REF!</v>
      </c>
      <c r="CQ2" s="133" t="e">
        <f>Numealtt7</f>
        <v>#REF!</v>
      </c>
      <c r="CR2" s="133" t="e">
        <f>JJCPAt7</f>
        <v>#REF!</v>
      </c>
      <c r="CS2" s="133" t="e">
        <f>Othert7</f>
        <v>#REF!</v>
      </c>
      <c r="CT2" s="135" t="e">
        <f>t7casecount</f>
        <v>#REF!</v>
      </c>
      <c r="CU2" s="138" t="e">
        <f>t7yobgpercap</f>
        <v>#REF!</v>
      </c>
      <c r="CV2" s="138" t="e">
        <f>t7totpercap</f>
        <v>#REF!</v>
      </c>
      <c r="CW2" s="133" t="e">
        <f>t7nar</f>
        <v>#REF!</v>
      </c>
      <c r="CX2" s="133" t="e">
        <f>t7goal</f>
        <v>#REF!</v>
      </c>
      <c r="CY2" s="133" t="e">
        <f>t7barrier</f>
        <v>#REF!</v>
      </c>
      <c r="CZ2" s="133" t="e">
        <f>t7funds</f>
        <v>#REF!</v>
      </c>
      <c r="DA2" s="133" t="e">
        <f>t7other1</f>
        <v>#REF!</v>
      </c>
      <c r="DB2" s="133" t="e">
        <f>t7other2</f>
        <v>#REF!</v>
      </c>
      <c r="DC2" s="133" t="e">
        <f>t7other3</f>
        <v>#REF!</v>
      </c>
      <c r="DD2" s="133" t="e">
        <f>Numecodet8</f>
        <v>#REF!</v>
      </c>
      <c r="DE2" s="133" t="e">
        <f>Numealtt8</f>
        <v>#REF!</v>
      </c>
      <c r="DF2" s="133" t="e">
        <f>JJCPAt8</f>
        <v>#REF!</v>
      </c>
      <c r="DG2" s="133" t="e">
        <f>Othert8</f>
        <v>#REF!</v>
      </c>
      <c r="DH2" s="135" t="e">
        <f>t8casecount</f>
        <v>#REF!</v>
      </c>
      <c r="DI2" s="138" t="e">
        <f>t8yobgpercap</f>
        <v>#REF!</v>
      </c>
      <c r="DJ2" s="138" t="e">
        <f>t8totpercap</f>
        <v>#REF!</v>
      </c>
      <c r="DK2" s="133" t="e">
        <f>t8nar</f>
        <v>#REF!</v>
      </c>
      <c r="DL2" s="133" t="e">
        <f>t8goal</f>
        <v>#REF!</v>
      </c>
      <c r="DM2" s="133" t="e">
        <f>t8barrier</f>
        <v>#REF!</v>
      </c>
      <c r="DN2" s="133" t="e">
        <f>t8funds</f>
        <v>#REF!</v>
      </c>
      <c r="DO2" s="133" t="e">
        <f>t8other1</f>
        <v>#REF!</v>
      </c>
      <c r="DP2" s="133" t="e">
        <f>t8other2</f>
        <v>#REF!</v>
      </c>
      <c r="DQ2" s="133" t="e">
        <f>t8other3</f>
        <v>#REF!</v>
      </c>
      <c r="DR2" s="133" t="e">
        <f>Numecodet9</f>
        <v>#REF!</v>
      </c>
      <c r="DS2" s="133" t="e">
        <f>Numealtt9</f>
        <v>#REF!</v>
      </c>
      <c r="DT2" s="133" t="e">
        <f>JJCPAt9</f>
        <v>#REF!</v>
      </c>
      <c r="DU2" s="133" t="e">
        <f>Othert9</f>
        <v>#REF!</v>
      </c>
      <c r="DV2" s="135" t="e">
        <f>t9casecount</f>
        <v>#REF!</v>
      </c>
      <c r="DW2" s="138" t="e">
        <f>t9yobgpercap</f>
        <v>#REF!</v>
      </c>
      <c r="DX2" s="138" t="e">
        <f>t9totpercap</f>
        <v>#REF!</v>
      </c>
      <c r="DY2" s="133" t="e">
        <f>t9nar</f>
        <v>#REF!</v>
      </c>
      <c r="DZ2" s="133" t="e">
        <f>t9goal</f>
        <v>#REF!</v>
      </c>
      <c r="EA2" s="133" t="e">
        <f>t9barrier</f>
        <v>#REF!</v>
      </c>
      <c r="EB2" s="133" t="e">
        <f>t9funds</f>
        <v>#REF!</v>
      </c>
      <c r="EC2" s="133" t="e">
        <f>t9other1</f>
        <v>#REF!</v>
      </c>
      <c r="ED2" s="133" t="e">
        <f>t9other2</f>
        <v>#REF!</v>
      </c>
      <c r="EE2" s="133" t="e">
        <f>t9other3</f>
        <v>#REF!</v>
      </c>
      <c r="EF2" s="133" t="e">
        <f>Numecodet10</f>
        <v>#REF!</v>
      </c>
      <c r="EG2" s="133" t="e">
        <f>Numealtt10</f>
        <v>#REF!</v>
      </c>
      <c r="EH2" s="133" t="e">
        <f>JJCPAt10</f>
        <v>#REF!</v>
      </c>
      <c r="EI2" s="133" t="e">
        <f>Othert10</f>
        <v>#REF!</v>
      </c>
      <c r="EJ2" s="135" t="e">
        <f>t10casecount</f>
        <v>#REF!</v>
      </c>
      <c r="EK2" s="138" t="e">
        <f>t10yobgpercap</f>
        <v>#REF!</v>
      </c>
      <c r="EL2" s="138" t="e">
        <f>t10totpercap</f>
        <v>#REF!</v>
      </c>
      <c r="EM2" s="133" t="e">
        <f>t10nar</f>
        <v>#REF!</v>
      </c>
      <c r="EN2" s="133" t="e">
        <f>t10goal</f>
        <v>#REF!</v>
      </c>
      <c r="EO2" s="133" t="e">
        <f>t10barrier</f>
        <v>#REF!</v>
      </c>
      <c r="EP2" s="133" t="e">
        <f>t10funds</f>
        <v>#REF!</v>
      </c>
      <c r="EQ2" s="133" t="e">
        <f>t10other1</f>
        <v>#REF!</v>
      </c>
      <c r="ER2" s="133" t="e">
        <f>t10other2</f>
        <v>#REF!</v>
      </c>
      <c r="ES2" s="133" t="e">
        <f>t10other3</f>
        <v>#REF!</v>
      </c>
      <c r="ET2" s="137" t="e">
        <f>totyobgexp</f>
        <v>#REF!</v>
      </c>
      <c r="EU2" s="137" t="e">
        <f>fy1314all</f>
        <v>#REF!</v>
      </c>
      <c r="EV2" s="137" t="e">
        <f>fy1213all</f>
        <v>#REF!</v>
      </c>
      <c r="EW2" s="137" t="e">
        <f>fy1112all</f>
        <v>#REF!</v>
      </c>
      <c r="EX2" s="137" t="e">
        <f>fy1011all</f>
        <v>#REF!</v>
      </c>
      <c r="EY2" s="137" t="e">
        <f>fy0910all</f>
        <v>#REF!</v>
      </c>
      <c r="EZ2" s="137" t="e">
        <f>fy0809all</f>
        <v>#REF!</v>
      </c>
      <c r="FA2" s="137" t="e">
        <f>fy0708all</f>
        <v>#REF!</v>
      </c>
      <c r="FB2" s="137" t="e">
        <f>totforall</f>
        <v>#REF!</v>
      </c>
      <c r="FC2" s="137" t="e">
        <f>discrep</f>
        <v>#REF!</v>
      </c>
      <c r="FD2" s="133" t="e">
        <f>discexpl</f>
        <v>#REF!</v>
      </c>
      <c r="FE2" s="133" t="e">
        <f>Numecodet1</f>
        <v>#REF!</v>
      </c>
      <c r="FF2" s="133" t="e">
        <f>JJCPAt1</f>
        <v>#REF!</v>
      </c>
      <c r="FG2" s="137">
        <f>t1jjcpatot</f>
        <v>0</v>
      </c>
      <c r="FH2" s="133" t="e">
        <f>Othert1</f>
        <v>#REF!</v>
      </c>
      <c r="FI2" s="137">
        <f>t1othertot</f>
        <v>0</v>
      </c>
      <c r="FJ2" s="133" t="e">
        <f>Numecodet2</f>
        <v>#REF!</v>
      </c>
      <c r="FK2" s="133" t="e">
        <f>JJCPAt2</f>
        <v>#REF!</v>
      </c>
      <c r="FL2" s="137" t="e">
        <f>t2jjcpatot</f>
        <v>#REF!</v>
      </c>
      <c r="FM2" s="133" t="e">
        <f>Othert2</f>
        <v>#REF!</v>
      </c>
      <c r="FN2" s="137" t="e">
        <f>t2othertot</f>
        <v>#REF!</v>
      </c>
      <c r="FO2" s="133" t="e">
        <f>Numecodet3</f>
        <v>#REF!</v>
      </c>
      <c r="FP2" s="133" t="e">
        <f>JJCPAt3</f>
        <v>#REF!</v>
      </c>
      <c r="FQ2" s="137" t="e">
        <f>t3jjcpatot</f>
        <v>#REF!</v>
      </c>
      <c r="FR2" s="133" t="e">
        <f>Othert3</f>
        <v>#REF!</v>
      </c>
      <c r="FS2" s="137" t="e">
        <f>t3othertot</f>
        <v>#REF!</v>
      </c>
      <c r="FT2" s="133" t="e">
        <f>Numecodet4</f>
        <v>#REF!</v>
      </c>
      <c r="FU2" s="133" t="e">
        <f>JJCPAt4</f>
        <v>#REF!</v>
      </c>
      <c r="FV2" s="137" t="e">
        <f>t4jjcpatot</f>
        <v>#REF!</v>
      </c>
      <c r="FW2" s="133" t="e">
        <f>Othert4</f>
        <v>#REF!</v>
      </c>
      <c r="FX2" s="137" t="e">
        <f>t4othertot</f>
        <v>#REF!</v>
      </c>
      <c r="FY2" s="133" t="e">
        <f>Numecodet5</f>
        <v>#REF!</v>
      </c>
      <c r="FZ2" s="133" t="e">
        <f>JJCPAt5</f>
        <v>#REF!</v>
      </c>
      <c r="GA2" s="137" t="e">
        <f>t5jjcpatot</f>
        <v>#REF!</v>
      </c>
      <c r="GB2" s="133" t="e">
        <f>Othert5</f>
        <v>#REF!</v>
      </c>
      <c r="GC2" s="137" t="e">
        <f>t5othertot</f>
        <v>#REF!</v>
      </c>
      <c r="GD2" s="133" t="e">
        <f>Numecodet6</f>
        <v>#REF!</v>
      </c>
      <c r="GE2" s="133" t="e">
        <f>JJCPAt6</f>
        <v>#REF!</v>
      </c>
      <c r="GF2" s="137" t="e">
        <f>t6jjcpatot</f>
        <v>#REF!</v>
      </c>
      <c r="GG2" s="133" t="e">
        <f>Othert6</f>
        <v>#REF!</v>
      </c>
      <c r="GH2" s="137" t="e">
        <f>t6othertot</f>
        <v>#REF!</v>
      </c>
      <c r="GI2" s="133" t="e">
        <f>Numecodet7</f>
        <v>#REF!</v>
      </c>
      <c r="GJ2" s="133" t="e">
        <f>JJCPAt7</f>
        <v>#REF!</v>
      </c>
      <c r="GK2" s="137" t="e">
        <f>t7jjcpatot</f>
        <v>#REF!</v>
      </c>
      <c r="GL2" s="133" t="e">
        <f>Othert7</f>
        <v>#REF!</v>
      </c>
      <c r="GM2" s="137" t="e">
        <f>t7othertot</f>
        <v>#REF!</v>
      </c>
      <c r="GN2" s="133" t="e">
        <f>Numecodet8</f>
        <v>#REF!</v>
      </c>
      <c r="GO2" s="133" t="e">
        <f>JJCPAt8</f>
        <v>#REF!</v>
      </c>
      <c r="GP2" s="137" t="e">
        <f>t8jjcpatot</f>
        <v>#REF!</v>
      </c>
      <c r="GQ2" s="133" t="e">
        <f>Othert8</f>
        <v>#REF!</v>
      </c>
      <c r="GR2" s="137" t="e">
        <f>t8othertot</f>
        <v>#REF!</v>
      </c>
      <c r="GS2" s="133" t="e">
        <f>Numecodet9</f>
        <v>#REF!</v>
      </c>
      <c r="GT2" s="133" t="e">
        <f>JJCPAt9</f>
        <v>#REF!</v>
      </c>
      <c r="GU2" s="137" t="e">
        <f>t9jjcpatot</f>
        <v>#REF!</v>
      </c>
      <c r="GV2" s="133" t="e">
        <f>Othert9</f>
        <v>#REF!</v>
      </c>
      <c r="GW2" s="137" t="e">
        <f>t9othertot</f>
        <v>#REF!</v>
      </c>
      <c r="GX2" s="133" t="e">
        <f>Numcodet10</f>
        <v>#REF!</v>
      </c>
      <c r="GY2" s="133" t="e">
        <f>JJCPAt10</f>
        <v>#REF!</v>
      </c>
      <c r="GZ2" s="137" t="e">
        <f>t10jjcpatot</f>
        <v>#REF!</v>
      </c>
      <c r="HA2" s="133" t="e">
        <f>Othert10</f>
        <v>#REF!</v>
      </c>
      <c r="HB2" s="137"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2.xml><?xml version="1.0" encoding="utf-8"?>
<ds:datastoreItem xmlns:ds="http://schemas.openxmlformats.org/officeDocument/2006/customXml" ds:itemID="{652869EC-915C-489F-80E1-63D57DEA5CDF}">
  <ds:schemaRefs>
    <ds:schemaRef ds:uri="http://www.w3.org/XML/1998/namespace"/>
    <ds:schemaRef ds:uri="http://schemas.microsoft.com/office/infopath/2007/PartnerControls"/>
    <ds:schemaRef ds:uri="http://purl.org/dc/dcmitype/"/>
    <ds:schemaRef ds:uri="http://schemas.microsoft.com/office/2006/metadata/properties"/>
    <ds:schemaRef ds:uri="http://schemas.microsoft.com/office/2006/documentManagement/types"/>
    <ds:schemaRef ds:uri="6320e372-7175-42ae-bb6d-dd857cd9bdf5"/>
    <ds:schemaRef ds:uri="http://schemas.openxmlformats.org/package/2006/metadata/core-properties"/>
    <ds:schemaRef ds:uri="a34f6b50-a9f7-4204-89ac-e0f2c967f41a"/>
    <ds:schemaRef ds:uri="http://purl.org/dc/terms/"/>
    <ds:schemaRef ds:uri="http://purl.org/dc/elements/1.1/"/>
  </ds:schemaRefs>
</ds:datastoreItem>
</file>

<file path=customXml/itemProps3.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Richardson, Vincent@CHHS</cp:lastModifiedBy>
  <cp:lastPrinted>2024-09-16T14:36:41Z</cp:lastPrinted>
  <dcterms:created xsi:type="dcterms:W3CDTF">2010-06-09T19:05:00Z</dcterms:created>
  <dcterms:modified xsi:type="dcterms:W3CDTF">2024-11-09T20:33:51Z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ediaServiceImageTags">
    <vt:lpwstr/>
  </property>
</Properties>
</file>