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89" documentId="8_{F5BCEB5E-2EAA-4F67-8402-1DF5CFD528AC}" xr6:coauthVersionLast="47" xr6:coauthVersionMax="47" xr10:uidLastSave="{19A74A08-D8C0-4411-BC56-9C4E7AB03089}"/>
  <bookViews>
    <workbookView xWindow="-110" yWindow="-110" windowWidth="19420" windowHeight="11500" firstSheet="1" activeTab="5"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YOBG" sheetId="6" r:id="rId6"/>
    <sheet name="Addl EXPENDITURE DETAILS-JJCPA" sheetId="22"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externalReferences>
    <externalReference r:id="rId20"/>
  </externalReferences>
  <definedNames>
    <definedName name="_Tot1" localSheetId="6">'Addl EXPENDITURE DETAILS-JJCPA'!$E$142</definedName>
    <definedName name="_Tot1">'EXPENDITURE DETAILS-YOBG'!$E$142</definedName>
    <definedName name="Address">#REF!</definedName>
    <definedName name="Address2">#REF!</definedName>
    <definedName name="asi" localSheetId="6">'[1]YOBG-FUNDED ASSESSMENTS'!$I$8</definedName>
    <definedName name="asi">'YOBG-FUNDED ASSESSMENTS'!$I$8</definedName>
    <definedName name="bot" localSheetId="6">'[1]YOBG-FUNDED ASSESSMENTS'!$I$9</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 localSheetId="6">'[1]YOBG-FUNDED ASSESSMENTS'!$I$10</definedName>
    <definedName name="COMPAS">'YOBG-FUNDED ASSESSMENTS'!$I$10</definedName>
    <definedName name="coord1" localSheetId="6">[1]OTHER!$I$6</definedName>
    <definedName name="coord1">OTHER!$I$6</definedName>
    <definedName name="coord2" localSheetId="6">[1]OTHER!$I$7</definedName>
    <definedName name="coord2">OTHER!$I$7</definedName>
    <definedName name="coordnar" localSheetId="6">[1]OTHER!$A$9</definedName>
    <definedName name="coordnar">OTHER!$A$9</definedName>
    <definedName name="Counties" localSheetId="6">[1]tables!$D$1:$D$58</definedName>
    <definedName name="Counties">tables!$D$1:$D$58</definedName>
    <definedName name="County" localSheetId="6">'[1]CONTACT INFORMATION'!$A$24</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 localSheetId="6">'[1]Drop Down List for Exp Cats'!$A$1:$A$50</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 localSheetId="6">'[1]YOBG-FUNDED ASSESSMENTS'!$I$11</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 localSheetId="6">'[1]YOBG-FUNDED ASSESSMENTS'!$I$12</definedName>
    <definedName name="LSIR">'YOBG-FUNDED ASSESSMENTS'!$I$12</definedName>
    <definedName name="MAYSI" localSheetId="6">'[1]YOBG-FUNDED ASSESSMENTS'!$I$14</definedName>
    <definedName name="MAYSI">'YOBG-FUNDED ASSESSMENTS'!$I$14</definedName>
    <definedName name="MAYSI2" localSheetId="6">'[1]YOBG-FUNDED ASSESSMENTS'!$I$13</definedName>
    <definedName name="MAYSI2">'YOBG-FUNDED ASSESSMENTS'!$I$13</definedName>
    <definedName name="name">#REF!</definedName>
    <definedName name="NIC" localSheetId="6">'[1]YOBG-FUNDED ASSESSMENTS'!$I$15</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 localSheetId="6">'[1]YOBG-FUNDED ASSESSMENTS'!$I$19</definedName>
    <definedName name="othrassess1">'YOBG-FUNDED ASSESSMENTS'!$I$19</definedName>
    <definedName name="othrassess2" localSheetId="6">'[1]YOBG-FUNDED ASSESSMENTS'!$I$20</definedName>
    <definedName name="othrassess2">'YOBG-FUNDED ASSESSMENTS'!$I$20</definedName>
    <definedName name="othrassess3" localSheetId="6">'[1]YOBG-FUNDED ASSESSMENTS'!$I$21</definedName>
    <definedName name="othrassess3">'YOBG-FUNDED ASSESSMENTS'!$I$21</definedName>
    <definedName name="othrassess4" localSheetId="6">'[1]YOBG-FUNDED ASSESSMENTS'!$I$22</definedName>
    <definedName name="othrassess4">'YOBG-FUNDED ASSESSMENTS'!$I$22</definedName>
    <definedName name="othrassessmentname1" localSheetId="6">'[1]YOBG-FUNDED ASSESSMENTS'!$C$19</definedName>
    <definedName name="othrassessmentname1">'YOBG-FUNDED ASSESSMENTS'!$C$19</definedName>
    <definedName name="othrassessmentname2" localSheetId="6">'[1]YOBG-FUNDED ASSESSMENTS'!$C$20</definedName>
    <definedName name="othrassessmentname2">'YOBG-FUNDED ASSESSMENTS'!$C$20</definedName>
    <definedName name="othrassessmentname3" localSheetId="6">'[1]YOBG-FUNDED ASSESSMENTS'!$C$21</definedName>
    <definedName name="othrassessmentname3">'YOBG-FUNDED ASSESSMENTS'!$C$21</definedName>
    <definedName name="othrassessmentname4" localSheetId="6">'[1]YOBG-FUNDED ASSESSMENTS'!$C$22</definedName>
    <definedName name="othrassessmentname4">'YOBG-FUNDED ASSESSMENTS'!$C$22</definedName>
    <definedName name="PACT" localSheetId="6">'[1]YOBG-FUNDED ASSESSMENTS'!$I$16</definedName>
    <definedName name="PACT">'YOBG-FUNDED ASSESSMENTS'!$I$16</definedName>
    <definedName name="preemail" localSheetId="6">'[1]CONTACT INFORMATION'!$D$29</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 localSheetId="6">'[1]CONTACT INFORMATION'!$F$27</definedName>
    <definedName name="primarytitle">'CONTACT INFORMATION'!$F$27</definedName>
    <definedName name="primcontact" localSheetId="6">'[1]CONTACT INFORMATION'!$A$27</definedName>
    <definedName name="primcontact">'CONTACT INFORMATION'!$A$27</definedName>
    <definedName name="primemail">'CONTACT INFORMATION'!$D$29</definedName>
    <definedName name="primphone" localSheetId="6">'[1]CONTACT INFORMATION'!$A$29</definedName>
    <definedName name="primphone">'CONTACT INFORMATION'!$A$29</definedName>
    <definedName name="regional" localSheetId="6">[1]OTHER!$A$29</definedName>
    <definedName name="regional">OTHER!$A$29</definedName>
    <definedName name="Reportdate" localSheetId="6">'[1]CONTACT INFORMATION'!$F$24</definedName>
    <definedName name="Reportdate">'CONTACT INFORMATION'!$F$24</definedName>
    <definedName name="RRC" localSheetId="6">'[1]YOBG-FUNDED ASSESSMENTS'!$I$17</definedName>
    <definedName name="RRC">'YOBG-FUNDED ASSESSMENTS'!$I$17</definedName>
    <definedName name="seccontact" localSheetId="6">'[1]CONTACT INFORMATION'!$A$32</definedName>
    <definedName name="seccontact">'CONTACT INFORMATION'!$A$32</definedName>
    <definedName name="seccontitle" localSheetId="6">'[1]CONTACT INFORMATION'!$F$32</definedName>
    <definedName name="seccontitle">'CONTACT INFORMATION'!$F$32</definedName>
    <definedName name="secemail" localSheetId="6">'[1]CONTACT INFORMATION'!$D$34</definedName>
    <definedName name="secemail">'CONTACT INFORMATION'!$D$34</definedName>
    <definedName name="secphone" localSheetId="6">'[1]CONTACT INFORMATION'!$A$34</definedName>
    <definedName name="secphone">'CONTACT INFORMATION'!$A$34</definedName>
    <definedName name="stratdf" localSheetId="6">'[1]STRATEGY FOR REALIGNED YOUTH'!$A$27</definedName>
    <definedName name="stratdf">'STRATEGY FOR REALIGNED YOUTH'!$A$27</definedName>
    <definedName name="stratdif">'STRATEGY FOR REALIGNED YOUTH'!$A$27</definedName>
    <definedName name="strategy" localSheetId="6">'[1]STRATEGY FOR REALIGNED YOUTH'!$H$7</definedName>
    <definedName name="strategy">'STRATEGY FOR REALIGNED YOUTH'!$H$7</definedName>
    <definedName name="stratnar" localSheetId="6">'[1]STRATEGY FOR REALIGNED YOUTH'!$A$10</definedName>
    <definedName name="stratnar">'STRATEGY FOR REALIGNED YOUTH'!$A$10</definedName>
    <definedName name="stratplan" localSheetId="6">'[1]STRATEGY FOR REALIGNED YOUTH'!$A$41</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 localSheetId="6">'Addl EXPENDITURE DETAILS-JJCPA'!$G$137</definedName>
    <definedName name="t1jjcpaadmin">'EXPENDITURE DETAILS-YOBG'!$G$137</definedName>
    <definedName name="t1jjcpacbo" localSheetId="6">'Addl EXPENDITURE DETAILS-JJCPA'!$G$135</definedName>
    <definedName name="t1jjcpacbo">'EXPENDITURE DETAILS-YOBG'!$G$135</definedName>
    <definedName name="t1jjcpaequip" localSheetId="6">'Addl EXPENDITURE DETAILS-JJCPA'!$G$136</definedName>
    <definedName name="t1jjcpaequip">'EXPENDITURE DETAILS-YOBG'!$G$136</definedName>
    <definedName name="t1jjcpaothr1" localSheetId="6">'Addl EXPENDITURE DETAILS-JJCPA'!$G$139</definedName>
    <definedName name="t1jjcpaothr1">'EXPENDITURE DETAILS-YOBG'!$G$139</definedName>
    <definedName name="t1jjcpaothr2" localSheetId="6">'Addl EXPENDITURE DETAILS-JJCPA'!$G$140</definedName>
    <definedName name="t1jjcpaothr2">'EXPENDITURE DETAILS-YOBG'!$G$140</definedName>
    <definedName name="t1jjcpaothr3" localSheetId="6">'Addl EXPENDITURE DETAILS-JJCPA'!$G$141</definedName>
    <definedName name="t1jjcpaothr3">'EXPENDITURE DETAILS-YOBG'!$G$141</definedName>
    <definedName name="t1jjcpaprof" localSheetId="6">'Addl EXPENDITURE DETAILS-JJCPA'!$G$134</definedName>
    <definedName name="t1jjcpaprof">'EXPENDITURE DETAILS-YOBG'!$G$134</definedName>
    <definedName name="t1jjcpasal" localSheetId="6">'Addl EXPENDITURE DETAILS-JJCPA'!$G$132</definedName>
    <definedName name="t1jjcpasal">'EXPENDITURE DETAILS-YOBG'!$G$132</definedName>
    <definedName name="t1jjcpaserv" localSheetId="6">'Addl EXPENDITURE DETAILS-JJCPA'!$G$133</definedName>
    <definedName name="t1jjcpaserv">'EXPENDITURE DETAILS-YOBG'!$G$133</definedName>
    <definedName name="t1jjcpatot" localSheetId="6">'Addl EXPENDITURE DETAILS-JJCPA'!$G$142</definedName>
    <definedName name="t1jjcpatot">'EXPENDITURE DETAILS-YOBG'!$G$142</definedName>
    <definedName name="t1location">#REF!</definedName>
    <definedName name="t1nar">#REF!</definedName>
    <definedName name="t1numcode" localSheetId="6">'Addl EXPENDITURE DETAILS-JJCPA'!$G$128</definedName>
    <definedName name="t1numcode">'EXPENDITURE DETAILS-YOBG'!$G$128</definedName>
    <definedName name="t1other1" localSheetId="6">'Addl EXPENDITURE DETAILS-JJCPA'!$A$139</definedName>
    <definedName name="t1other1">'EXPENDITURE DETAILS-YOBG'!$A$139</definedName>
    <definedName name="t1other2" localSheetId="6">'Addl EXPENDITURE DETAILS-JJCPA'!$A$140</definedName>
    <definedName name="t1other2">'EXPENDITURE DETAILS-YOBG'!$A$140</definedName>
    <definedName name="t1other3" localSheetId="6">'Addl EXPENDITURE DETAILS-JJCPA'!$A$141</definedName>
    <definedName name="t1other3">'EXPENDITURE DETAILS-YOBG'!$A$141</definedName>
    <definedName name="t1otheradmin" localSheetId="6">'Addl EXPENDITURE DETAILS-JJCPA'!$I$137</definedName>
    <definedName name="t1otheradmin">'EXPENDITURE DETAILS-YOBG'!$I$137</definedName>
    <definedName name="t1othercbo" localSheetId="6">'Addl EXPENDITURE DETAILS-JJCPA'!$I$135</definedName>
    <definedName name="t1othercbo">'EXPENDITURE DETAILS-YOBG'!$I$135</definedName>
    <definedName name="t1otherequip" localSheetId="6">'Addl EXPENDITURE DETAILS-JJCPA'!$I$136</definedName>
    <definedName name="t1otherequip">'EXPENDITURE DETAILS-YOBG'!$I$136</definedName>
    <definedName name="t1otherothr1" localSheetId="6">'Addl EXPENDITURE DETAILS-JJCPA'!$I$139</definedName>
    <definedName name="t1otherothr1">'EXPENDITURE DETAILS-YOBG'!$I$139</definedName>
    <definedName name="t1otherothr2" localSheetId="6">'Addl EXPENDITURE DETAILS-JJCPA'!$I$140</definedName>
    <definedName name="t1otherothr2">'EXPENDITURE DETAILS-YOBG'!$I$140</definedName>
    <definedName name="t1otherothr3" localSheetId="6">'Addl EXPENDITURE DETAILS-JJCPA'!$I$141</definedName>
    <definedName name="t1otherothr3">'EXPENDITURE DETAILS-YOBG'!$I$141</definedName>
    <definedName name="t1otherprof" localSheetId="6">'Addl EXPENDITURE DETAILS-JJCPA'!$I$134</definedName>
    <definedName name="t1otherprof">'EXPENDITURE DETAILS-YOBG'!$I$134</definedName>
    <definedName name="t1othersal" localSheetId="6">'Addl EXPENDITURE DETAILS-JJCPA'!$I$132</definedName>
    <definedName name="t1othersal">'EXPENDITURE DETAILS-YOBG'!$I$132</definedName>
    <definedName name="t1otherserv" localSheetId="6">'Addl EXPENDITURE DETAILS-JJCPA'!$I$133</definedName>
    <definedName name="t1otherserv">'EXPENDITURE DETAILS-YOBG'!$I$133</definedName>
    <definedName name="t1othertot" localSheetId="6">'Addl EXPENDITURE DETAILS-JJCPA'!$I$142</definedName>
    <definedName name="t1othertot">'EXPENDITURE DETAILS-YOBG'!$I$142</definedName>
    <definedName name="t1progname">#REF!</definedName>
    <definedName name="t1prognamealt">#REF!</definedName>
    <definedName name="t1totpercap">#REF!</definedName>
    <definedName name="t1yobgadmin" localSheetId="6">'Addl EXPENDITURE DETAILS-JJCPA'!$E$137</definedName>
    <definedName name="t1yobgadmin">'EXPENDITURE DETAILS-YOBG'!$E$137</definedName>
    <definedName name="t1yobgcbo" localSheetId="6">'Addl EXPENDITURE DETAILS-JJCPA'!$E$135</definedName>
    <definedName name="t1yobgcbo">'EXPENDITURE DETAILS-YOBG'!$E$135</definedName>
    <definedName name="t1yobgequip" localSheetId="6">'Addl EXPENDITURE DETAILS-JJCPA'!$E$136</definedName>
    <definedName name="t1yobgequip">'EXPENDITURE DETAILS-YOBG'!$E$136</definedName>
    <definedName name="t1yobgothr1" localSheetId="6">'Addl EXPENDITURE DETAILS-JJCPA'!$E$139</definedName>
    <definedName name="t1yobgothr1">'EXPENDITURE DETAILS-YOBG'!$E$139</definedName>
    <definedName name="t1yobgothr2" localSheetId="6">'Addl EXPENDITURE DETAILS-JJCPA'!$E$140</definedName>
    <definedName name="t1yobgothr2">'EXPENDITURE DETAILS-YOBG'!$E$140</definedName>
    <definedName name="t1yobgothr3" localSheetId="6">'Addl EXPENDITURE DETAILS-JJCPA'!$E$141</definedName>
    <definedName name="t1yobgothr3">'EXPENDITURE DETAILS-YOBG'!$E$141</definedName>
    <definedName name="t1yobgpercap">#REF!</definedName>
    <definedName name="t1yobgprof" localSheetId="6">'Addl EXPENDITURE DETAILS-JJCPA'!$E$134</definedName>
    <definedName name="t1yobgprof">'EXPENDITURE DETAILS-YOBG'!$E$134</definedName>
    <definedName name="t1yobgsal" localSheetId="6">'Addl EXPENDITURE DETAILS-JJCPA'!$E$132</definedName>
    <definedName name="t1yobgsal">'EXPENDITURE DETAILS-YOBG'!$E$132</definedName>
    <definedName name="t1yobgserv" localSheetId="6">'Addl EXPENDITURE DETAILS-JJCPA'!$E$133</definedName>
    <definedName name="t1yobgserv">'EXPENDITURE DETAILS-YOBG'!$E$133</definedName>
    <definedName name="t1yobgtot" localSheetId="6">'Addl EXPENDITURE DETAILS-JJCPA'!$E$142</definedName>
    <definedName name="t1yobgtot">'EXPENDITURE DETAILS-YOBG'!$E$142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 localSheetId="6">[1]tables!$F$24:$F$25</definedName>
    <definedName name="YESNO">tables!$F$24:$F$25</definedName>
    <definedName name="YLSCMI" localSheetId="6">'[1]YOBG-FUNDED ASSESSMENTS'!$I$18</definedName>
    <definedName name="YLSCMI">'YOBG-FUNDED ASSESSMENTS'!$I$18</definedName>
    <definedName name="Youthtype">tables!$G$24:$G$42</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1" i="22" l="1"/>
  <c r="H65" i="22"/>
  <c r="H125" i="22"/>
  <c r="E142" i="22"/>
  <c r="G142" i="22"/>
  <c r="I142" i="22"/>
  <c r="H177" i="22"/>
  <c r="E194" i="22"/>
  <c r="G194" i="22"/>
  <c r="I194" i="22"/>
  <c r="H230" i="22"/>
  <c r="E247" i="22"/>
  <c r="G247" i="22"/>
  <c r="I247" i="22"/>
  <c r="H288" i="22"/>
  <c r="E305" i="22"/>
  <c r="G305" i="22"/>
  <c r="I305" i="22"/>
  <c r="H347" i="22"/>
  <c r="E364" i="22"/>
  <c r="G364" i="22"/>
  <c r="I364" i="22"/>
  <c r="H405" i="22"/>
  <c r="E422" i="22"/>
  <c r="G422" i="22"/>
  <c r="I422" i="22"/>
  <c r="H463" i="22"/>
  <c r="E480" i="22"/>
  <c r="G480" i="22"/>
  <c r="I480" i="22"/>
  <c r="H521" i="22"/>
  <c r="E538" i="22"/>
  <c r="G538" i="22"/>
  <c r="I538" i="22"/>
  <c r="H579" i="22"/>
  <c r="E596" i="22"/>
  <c r="G596" i="22"/>
  <c r="I596" i="22"/>
  <c r="H637" i="22"/>
  <c r="E654" i="22"/>
  <c r="G654" i="22"/>
  <c r="I654" i="22"/>
  <c r="H695" i="22"/>
  <c r="E712" i="22"/>
  <c r="G712" i="22"/>
  <c r="I712" i="22"/>
  <c r="H753" i="22"/>
  <c r="E770" i="22"/>
  <c r="G770" i="22"/>
  <c r="I770" i="22"/>
  <c r="H811" i="22"/>
  <c r="E828" i="22"/>
  <c r="G828" i="22"/>
  <c r="I828" i="22"/>
  <c r="H869" i="22"/>
  <c r="E886" i="22"/>
  <c r="G886" i="22"/>
  <c r="I886" i="22"/>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D21" i="8"/>
  <c r="H3" i="8"/>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J9" i="3"/>
  <c r="D17"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<sst xmlns="http://schemas.openxmlformats.org/spreadsheetml/2006/main" count="2473" uniqueCount="955">
  <si>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</si>
  <si>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</si>
  <si>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</si>
  <si>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</si>
  <si>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</si>
  <si>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</si>
  <si>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</si>
  <si>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</si>
  <si>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</si>
  <si>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</si>
  <si>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</si>
  <si>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</si>
  <si>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</si>
  <si>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</si>
  <si>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</si>
  <si>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</si>
  <si>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</si>
  <si>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</si>
  <si>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</si>
  <si>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</si>
  <si>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</si>
  <si>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</si>
  <si>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</si>
  <si>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</si>
  <si>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</si>
  <si>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</si>
  <si>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</si>
  <si>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</si>
  <si>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</si>
  <si>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</si>
  <si>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</si>
  <si>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</si>
  <si>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</si>
  <si>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</si>
  <si>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</si>
  <si>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</si>
  <si>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</si>
  <si>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</si>
  <si>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</si>
  <si>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</si>
  <si>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</si>
  <si>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</si>
  <si>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</si>
  <si>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</si>
  <si>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</si>
  <si>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</si>
  <si>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</si>
  <si>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</si>
  <si>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</si>
  <si>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</si>
  <si>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</si>
  <si>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</si>
  <si>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</si>
  <si>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</si>
  <si>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</si>
  <si>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</si>
  <si>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</si>
  <si>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</si>
  <si>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</si>
  <si>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In the blank boxes below, enter your juvenile arrest data from last year (2023).</t>
  </si>
  <si>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</si>
  <si>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</si>
  <si>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</si>
  <si>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</si>
  <si>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</si>
  <si>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</si>
  <si>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</si>
  <si>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</si>
  <si>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</si>
  <si>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</si>
  <si>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</si>
  <si>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</si>
  <si>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</si>
  <si>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</si>
  <si>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</si>
  <si>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</si>
  <si>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</si>
  <si>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</si>
  <si>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</si>
  <si>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</si>
  <si>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</si>
  <si>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</si>
  <si>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</si>
  <si>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</si>
  <si>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</si>
  <si>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</si>
  <si>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</si>
  <si>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</si>
  <si>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</si>
  <si>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</si>
  <si>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</si>
  <si>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</si>
  <si>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</si>
  <si>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</si>
  <si>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</si>
  <si>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</si>
  <si>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</si>
  <si>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</si>
  <si>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</si>
  <si>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</si>
  <si>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</si>
  <si>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</si>
  <si>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</si>
  <si>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</si>
  <si>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</si>
  <si>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</si>
  <si>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</si>
  <si>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</si>
  <si>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</si>
  <si>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</si>
  <si>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</si>
  <si>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</si>
  <si>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</si>
  <si>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</si>
  <si>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</si>
  <si>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</si>
  <si>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</si>
  <si>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</si>
  <si>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</si>
  <si>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</si>
  <si>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</si>
  <si>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</si>
  <si>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</si>
  <si>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</si>
  <si>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</si>
  <si>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</si>
  <si>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</si>
  <si>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</si>
  <si>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</si>
  <si>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</si>
  <si>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</si>
  <si>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</si>
  <si>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</si>
  <si>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</si>
  <si>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</si>
  <si>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</si>
  <si>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</si>
  <si>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</si>
  <si>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</si>
  <si>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</si>
  <si>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</si>
  <si>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</si>
  <si>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</si>
  <si>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</si>
  <si>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</si>
  <si>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</si>
  <si>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</si>
  <si>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</si>
  <si>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</si>
  <si>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</si>
  <si>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</si>
  <si>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</si>
  <si>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</si>
  <si>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</si>
  <si>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</si>
  <si>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</si>
  <si>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</si>
  <si>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</si>
  <si>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</si>
  <si>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</si>
  <si>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</si>
  <si>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</si>
  <si>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 xml:space="preserve">The San Francisco Juvenile Probation Department is actively engaged in a collaborative, strategic planning process to refine the City’s long-standing, and highly regarded alternatives to detention programming, as well as exploring opportunities authorized by California law to expand diversion options. Staff from the Administration and Finance Division support these programs as necessary.
The Intensive Services Foster Care Homes and Intensive Family Preservation Services for Juvenile Justice System Impacted Youth Programs are designed to reduce the use of secure detention and achieve better outcomes and advance racial equity for justice impacted youth, particularly Black, Indigenous, and youth of color, who are disproportionately impacted by out of home placement and detention. The culturally responsive, youth-centered strategies include resource family recruitment, 24/7 case management and services for youth and resource families, training and respite care for resource families, resource family reservation fees to ensure capacity; and Intensive Family Preservation Services for youth residing in kinship resource families and youth on home trials.
SFSFJPD funds San Francisco’s only short-term residential therapeutic program (STRTP). This facility serves juvenile justice involved boys up to their nineteenth birthday who have histories of trauma, and experience mental health and educational challenges both pre- and post-adjudication.
Eligibility staff from the San Francisco Human Services Agency determine eligibility for federal, state, and county foster care benefits for justice involved youth, and extended foster care benefits for young adults supported by SFSFJPD.  The staff process and authorize benefits for various programs including: probation, wraparound, voluntary placements, and inter-county transfers. Additionally, HSA staff are funded by SFJPD to support the implementation of CalAIM
</t>
  </si>
  <si>
    <t>2. Program, Placement, Service, Strategy, or System Enhancement</t>
  </si>
  <si>
    <t xml:space="preserve">The Juvenile Probation Department seeks to create opportunities for positive youth development, youth empowerment, and successful transitions to adulthood. Staff from the Administration and Finance Division support these programs as necessary, in partnership with staff from the Department of Children, Youth, and their Families.
Through a collaborative program development process with our system and community partners, SFJPD supports more than 20 community-based organizations to provide leadership and skills building programs, educational courses, vocational services, mentorship programs, recreational activities, and other services. These incentive-based and pro-social activities are grounded in research that shows youth respond better to rewards for positive behavior than to sanctions or punishments for noncompliance. Incentives help youth learn new behaviors, expanding their strengths and skills. Youth are also motivated to change behavior when presented with pro-social opportunities that align with their interests. Youth up to age 21 under the jurisdiction of the San Francisco juvenile court, in the community, and in out of home placement, are eligible to participate in these programs.
Programs in this category include case management services to Latinx newcomer immigrant youth, who are identified as unaccompanied minors, who have been arrested in San Francisco for alleged misdemeanor or felony conduct and need immediate support with linkage and navigation of community resources to support them in meeting legal obligations, build attainable opportunities for increasing health and wellness activities, and reduce risks and prevent recidivism.The Make It Right program is a pre-filing diversion restorative community conferencing program operated by the San Francisco District Attorney’s Office, in which eligible juvenile justice involved youth come together with their victim and their supporters to develop an agreement for the young person to repair harm, address root causes, and make amends, and receive ongoing case management in support of completing the terms of the agreement.
The Credible Messenger Life Coach program provides mentorship delivered by people with similar lived experiences to our justice-involved youth population, who will work with young throughout their juvenile justice system involvement, from referral, through adjudication, post-adjudication, probation, and after. Credible messenger life coaches are the best positioned adults in our community to continuously engage with young people, become trusted confidants and advisors, and help young people in a time of crisis to navigate their circumstances through the system, through their challenges and triumphs, and into a successful adulthood. This program operates both in custody, as a Quality Detention Program, and in the community, as a Positive Youth Development Program.
</t>
  </si>
  <si>
    <t>3. Program, Placement, Service, Strategy, or System Enhancement</t>
  </si>
  <si>
    <t>Quality Detention Programming</t>
  </si>
  <si>
    <t>Life/Independent Living Skills Training/Education</t>
  </si>
  <si>
    <t>The Quality Detention Programming strategy includes, but is not limited to, the following programs. These community-based efforts are supported and facilitated by Juvenile Hall staff. Staff from the Administration and Finance Division support these programs as necessary.
The Credible Messenger Life Coach program provides mentorship delivered by people with similar lived experiences to our justice-involved youth population, who work with young people in Juvenile Hall, and throughout their juvenile justice system involvement and after. Credible messenger life coaches are the best positioned adults in our community to continuously engage with young people, become trusted confidants and advisors, and help young people in a time of crisis to navigate their circumstances through the system, through their challenges and triumphs, and into a successful adulthood. This program operates both in custody, as a Quality Detention Program, and in the community, as a Positive Youth Development Program.</t>
  </si>
  <si>
    <t>4. Program, Placement, Service, Strategy, or System Enhancement</t>
  </si>
  <si>
    <t>Whole Family Engagement</t>
  </si>
  <si>
    <t>strategy or system enhancement:</t>
  </si>
  <si>
    <r>
      <rPr>
        <sz val="10"/>
        <color theme="1"/>
        <rFont val="Arial"/>
        <family val="2"/>
      </rPr>
      <t>Expenditure Category</t>
    </r>
    <r>
      <rPr>
        <sz val="8"/>
        <color theme="1"/>
        <rFont val="Arial"/>
        <family val="2"/>
      </rPr>
      <t>:</t>
    </r>
  </si>
  <si>
    <t>Historically, San Francisco has not adequately supported families of young people in the juvenile justice system. Routinely, families are not centered in the case planning process, and do not receive the support they need and deserve to understand their child’s court case and advocate for their needs.
The Whole Family Engagement and Support program provides a variety of services for young people in the juvenile justice population and their families, across all settings (pre-adjudication and post-adjudication, probation, out of home placement, Juvenile Hall). This includes a more expansive definition of family to include individuals identified by the youth as playing a key role in their wellbeing and success.
As part of the Whole Family Engagement Program, flexible and direct funding helps participants and their whole families gain or maintain access to basic needs that positively impact the youth’s trajectory, impact their ability to attain their goals, and aid in stabilizing and securing their homelife. These include childcare, food, water, clothing, technology, internet access, transportation, educational vouchers, legal services, and other identified needs.
Staff from the Administration and Finance Division support these programs as necessary.</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</si>
  <si>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</si>
  <si>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</si>
  <si>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</si>
  <si>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</si>
  <si>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</si>
  <si>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</si>
  <si>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</si>
  <si>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</si>
  <si>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</si>
  <si>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</si>
  <si>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</si>
  <si>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</si>
  <si>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</si>
  <si>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</si>
  <si>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</si>
  <si>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</si>
  <si>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</si>
  <si>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</si>
  <si>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</si>
  <si>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</si>
  <si>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</si>
  <si>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</si>
  <si>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</si>
  <si>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</si>
  <si>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</si>
  <si>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</si>
  <si>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</si>
  <si>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</si>
  <si>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</si>
  <si>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</si>
  <si>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</si>
  <si>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</si>
  <si>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</si>
  <si>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</si>
  <si>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</si>
  <si>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</si>
  <si>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</si>
  <si>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</si>
  <si>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</si>
  <si>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</si>
  <si>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</si>
  <si>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</si>
  <si>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</si>
  <si>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</si>
  <si>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</si>
  <si>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</si>
  <si>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</si>
  <si>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</si>
  <si>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</si>
  <si>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</si>
  <si>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</si>
  <si>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</si>
  <si>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</si>
  <si>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</si>
  <si>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</si>
  <si>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</si>
  <si>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</si>
  <si>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</si>
  <si>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</si>
  <si>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</si>
  <si>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</si>
  <si>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</si>
  <si>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</si>
  <si>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</si>
  <si>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</si>
  <si>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</si>
  <si>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</si>
  <si>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</si>
  <si>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</si>
  <si>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</si>
  <si>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</si>
  <si>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</si>
  <si>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</si>
  <si>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</si>
  <si>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</si>
  <si>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</si>
  <si>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</si>
  <si>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</si>
  <si>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</si>
  <si>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</si>
  <si>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</si>
  <si>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</si>
  <si>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</si>
  <si>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</si>
  <si>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</si>
  <si>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</si>
  <si>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</si>
  <si>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</si>
  <si>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</si>
  <si>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</si>
  <si>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</si>
  <si>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</si>
  <si>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</si>
  <si>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</si>
  <si>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</si>
  <si>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</si>
  <si>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</si>
  <si>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</si>
  <si>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</si>
  <si>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</si>
  <si>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</si>
  <si>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</si>
  <si>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</si>
  <si>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</si>
  <si>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</si>
  <si>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</si>
  <si>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</si>
  <si>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</si>
  <si>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</si>
  <si>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</si>
  <si>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</si>
  <si>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</si>
  <si>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</si>
  <si>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</si>
  <si>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</si>
  <si>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</si>
  <si>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</si>
  <si>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</si>
  <si>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</si>
  <si>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</si>
  <si>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</si>
  <si>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</si>
  <si>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</si>
  <si>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</si>
  <si>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</si>
  <si>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</si>
  <si>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</si>
  <si>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</si>
  <si>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</si>
  <si>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</si>
  <si>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</si>
  <si>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</si>
  <si>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</si>
  <si>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</si>
  <si>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</si>
  <si>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</si>
  <si>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</si>
  <si>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</si>
  <si>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</si>
  <si>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</si>
  <si>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</si>
  <si>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</si>
  <si>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</si>
  <si>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</si>
  <si>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</si>
  <si>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</si>
  <si>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</si>
  <si>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</si>
  <si>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</si>
  <si>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</si>
  <si>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</si>
  <si>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</si>
  <si>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</si>
  <si>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</si>
  <si>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</si>
  <si>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</si>
  <si>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</si>
  <si>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</si>
  <si>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</si>
  <si>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</si>
  <si>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</si>
  <si>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</si>
  <si>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</si>
  <si>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</si>
  <si>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</si>
  <si>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</si>
  <si>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</si>
  <si>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</si>
  <si>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</si>
  <si>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</si>
  <si>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</si>
  <si>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</si>
  <si>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</si>
  <si>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</si>
  <si>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</si>
  <si>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</si>
  <si>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</si>
  <si>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</si>
  <si>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</si>
  <si>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</si>
  <si>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</si>
  <si>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</si>
  <si>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</si>
  <si>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</si>
  <si>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</si>
  <si>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</si>
  <si>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</si>
  <si>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</si>
  <si>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</si>
  <si>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</si>
  <si>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</si>
  <si>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</si>
  <si>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</si>
  <si>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</si>
  <si>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</si>
  <si>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</si>
  <si>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</si>
  <si>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</si>
  <si>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</si>
  <si>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</si>
  <si>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</si>
  <si>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</si>
  <si>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</si>
  <si>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</si>
  <si>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</si>
  <si>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</si>
  <si>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</si>
  <si>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</si>
  <si>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</si>
  <si>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</si>
  <si>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</si>
  <si>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</si>
  <si>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</si>
  <si>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</si>
  <si>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</si>
  <si>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</si>
  <si>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</si>
  <si>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</si>
  <si>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</si>
  <si>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</si>
  <si>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</si>
  <si>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</si>
  <si>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</si>
  <si>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</si>
  <si>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</si>
  <si>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</si>
  <si>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</si>
  <si>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</si>
  <si>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</si>
  <si>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</si>
  <si>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</si>
  <si>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</si>
  <si>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</si>
  <si>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</si>
  <si>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</si>
  <si>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</si>
  <si>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</si>
  <si>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</si>
  <si>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</si>
  <si>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</si>
  <si>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</si>
  <si>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</si>
  <si>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</si>
  <si>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</si>
  <si>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</si>
  <si>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</si>
  <si>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</si>
  <si>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</si>
  <si>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</si>
  <si>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</si>
  <si>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</si>
  <si>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</si>
  <si>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</si>
  <si>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</si>
  <si>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</si>
  <si>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</si>
  <si>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</si>
  <si>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</si>
  <si>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</si>
  <si>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</si>
  <si>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</si>
  <si>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</si>
  <si>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</si>
  <si>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</si>
  <si>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</si>
  <si>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</si>
  <si>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</si>
  <si>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</si>
  <si>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</si>
  <si>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</si>
  <si>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</si>
  <si>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</si>
  <si>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</si>
  <si>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</si>
  <si>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</si>
  <si>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</si>
  <si>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</si>
  <si>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</si>
  <si>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</si>
  <si>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</si>
  <si>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</si>
  <si>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</si>
  <si>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</si>
  <si>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</si>
  <si>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</si>
  <si>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</si>
  <si>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</si>
  <si>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</si>
  <si>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</si>
  <si>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</si>
  <si>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</si>
  <si>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</si>
  <si>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</si>
  <si>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</si>
  <si>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</si>
  <si>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</si>
  <si>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</si>
  <si>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</si>
  <si>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</si>
  <si>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</si>
  <si>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</si>
  <si>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</si>
  <si>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</si>
  <si>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</si>
  <si>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</si>
  <si>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</si>
  <si>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</si>
  <si>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</si>
  <si>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</si>
  <si>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</si>
  <si>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</si>
  <si>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</si>
  <si>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</si>
  <si>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</si>
  <si>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</si>
  <si>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</si>
  <si>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</si>
  <si>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</si>
  <si>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</si>
  <si>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</si>
  <si>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</si>
  <si>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</si>
  <si>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</si>
  <si>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</si>
  <si>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</si>
  <si>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</si>
  <si>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</si>
  <si>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</si>
  <si>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</si>
  <si>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</si>
  <si>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</si>
  <si>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</si>
  <si>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</si>
  <si>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</si>
  <si>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</si>
  <si>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</si>
  <si>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</si>
  <si>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</si>
  <si>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</si>
  <si>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</si>
  <si>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</si>
  <si>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</si>
  <si>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</si>
  <si>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</si>
  <si>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</si>
  <si>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</si>
  <si>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</si>
  <si>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</si>
  <si>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</si>
  <si>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</si>
  <si>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</si>
  <si>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</si>
  <si>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</si>
  <si>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</si>
  <si>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</si>
  <si>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</si>
  <si>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</si>
  <si>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</si>
  <si>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</si>
  <si>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</si>
  <si>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</si>
  <si>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</si>
  <si>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</si>
  <si>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</si>
  <si>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</si>
  <si>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</si>
  <si>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</si>
  <si>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</si>
  <si>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</si>
  <si>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</si>
  <si>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</si>
  <si>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</si>
  <si>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</si>
  <si>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</si>
  <si>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</si>
  <si>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</si>
  <si>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</si>
  <si>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</si>
  <si>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</si>
  <si>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</si>
  <si>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</si>
  <si>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</si>
  <si>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</si>
  <si>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</si>
  <si>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</si>
  <si>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</si>
  <si>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</si>
  <si>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</si>
  <si>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</si>
  <si>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</si>
  <si>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</si>
  <si>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</si>
  <si>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</si>
  <si>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</si>
  <si>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</si>
  <si>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</si>
  <si>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</si>
  <si>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</si>
  <si>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</si>
  <si>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</si>
  <si>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</si>
  <si>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</si>
  <si>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</si>
  <si>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</si>
  <si>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</si>
  <si>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</si>
  <si>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</si>
  <si>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</si>
  <si>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</si>
  <si>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</si>
  <si>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</si>
  <si>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</si>
  <si>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</si>
  <si>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</si>
  <si>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</si>
  <si>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</si>
  <si>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</si>
  <si>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</si>
  <si>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</si>
  <si>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</si>
  <si>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</si>
  <si>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</si>
  <si>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</si>
  <si>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</si>
  <si>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</si>
  <si>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</si>
  <si>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</si>
  <si>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</si>
  <si>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</si>
  <si>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</si>
  <si>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</si>
  <si>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</si>
  <si>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</si>
  <si>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</si>
  <si>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</si>
  <si>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</si>
  <si>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</si>
  <si>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</si>
  <si>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</si>
  <si>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</si>
  <si>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</si>
  <si>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</si>
  <si>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</si>
  <si>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</si>
  <si>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</si>
  <si>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</si>
  <si>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</si>
  <si>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</si>
  <si>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</si>
  <si>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</si>
  <si>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</si>
  <si>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</si>
  <si>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</si>
  <si>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</si>
  <si>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</si>
  <si>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</si>
  <si>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</si>
  <si>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</si>
  <si>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</si>
  <si>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</si>
  <si>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</si>
  <si>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</si>
  <si>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</si>
  <si>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</si>
  <si>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</si>
  <si>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</si>
  <si>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</si>
  <si>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</si>
  <si>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</si>
  <si>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</si>
  <si>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</si>
  <si>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</si>
  <si>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</si>
  <si>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</si>
  <si>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</si>
  <si>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</si>
  <si>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</si>
  <si>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</si>
  <si>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</si>
  <si>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</si>
  <si>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</si>
  <si>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</si>
  <si>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</si>
  <si>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</si>
  <si>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</si>
  <si>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</si>
  <si>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</si>
  <si>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</si>
  <si>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</si>
  <si>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</si>
  <si>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</si>
  <si>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</si>
  <si>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</si>
  <si>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</si>
  <si>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</si>
  <si>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</si>
  <si>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</si>
  <si>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</si>
  <si>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</si>
  <si>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</si>
  <si>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</si>
  <si>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</si>
  <si>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</si>
  <si>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</si>
  <si>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</si>
  <si>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</si>
  <si>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</si>
  <si>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</si>
  <si>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</si>
  <si>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</si>
  <si>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</si>
  <si>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</si>
  <si>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</si>
  <si>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</si>
  <si>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</si>
  <si>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</si>
  <si>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</si>
  <si>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</si>
  <si>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</si>
  <si>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</si>
  <si>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</si>
  <si>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</si>
  <si>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</si>
  <si>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</si>
  <si>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</si>
  <si>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</si>
  <si>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</si>
  <si>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</si>
  <si>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</si>
  <si>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</si>
  <si>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</si>
  <si>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</si>
  <si>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</si>
  <si>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</si>
  <si>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</si>
  <si>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</si>
  <si>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</si>
  <si>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</si>
  <si>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</si>
  <si>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</si>
  <si>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</si>
  <si>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</si>
  <si>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</si>
  <si>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</si>
  <si>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</si>
  <si>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</si>
  <si>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</si>
  <si>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</si>
  <si>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</si>
  <si>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</si>
  <si>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</si>
  <si>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</si>
  <si>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</si>
  <si>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</si>
  <si>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</si>
  <si>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</si>
  <si>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</si>
  <si>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</si>
  <si>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</si>
  <si>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</si>
  <si>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</si>
  <si>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</si>
  <si>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</si>
  <si>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</si>
  <si>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</si>
  <si>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</si>
  <si>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</si>
  <si>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</si>
  <si>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</si>
  <si>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</si>
  <si>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</si>
  <si>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</si>
  <si>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</si>
  <si>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</si>
  <si>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</si>
  <si>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</si>
  <si>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</si>
  <si>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</si>
  <si>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</si>
  <si>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</si>
  <si>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</si>
  <si>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</si>
  <si>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</si>
  <si>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</si>
  <si>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</si>
  <si>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</si>
  <si>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</si>
  <si>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</si>
  <si>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</si>
  <si>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</si>
  <si>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</si>
  <si>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</si>
  <si>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</si>
  <si>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</si>
  <si>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</si>
  <si>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</si>
  <si>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</si>
  <si>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</si>
  <si>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</si>
  <si>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</si>
  <si>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</si>
  <si>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</si>
  <si>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</si>
  <si>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</si>
  <si>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</si>
  <si>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</si>
  <si>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</si>
  <si>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</si>
  <si>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</si>
  <si>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</si>
  <si>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</si>
  <si>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</si>
  <si>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</si>
  <si>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</si>
  <si>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</si>
  <si>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</si>
  <si>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</si>
  <si>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</si>
  <si>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</si>
  <si>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</si>
  <si>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</si>
  <si>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</si>
  <si>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</si>
  <si>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</si>
  <si>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</si>
  <si>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</si>
  <si>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</si>
  <si>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</si>
  <si>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</si>
  <si>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</si>
  <si>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</si>
  <si>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</si>
  <si>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</si>
  <si>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</si>
  <si>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</si>
  <si>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</si>
  <si>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</si>
  <si>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</si>
  <si>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</si>
  <si>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</si>
  <si>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</si>
  <si>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</si>
  <si>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</si>
  <si>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</si>
  <si>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</si>
  <si>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</si>
  <si>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</si>
  <si>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</si>
  <si>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</si>
  <si>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</si>
  <si>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</si>
  <si>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</si>
  <si>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</si>
  <si>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</si>
  <si>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</si>
  <si>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</si>
  <si>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</si>
  <si>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</si>
  <si>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</si>
  <si>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</si>
  <si>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</si>
  <si>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</si>
  <si>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</si>
  <si>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</si>
  <si>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</si>
  <si>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</si>
  <si>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</si>
  <si>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</si>
  <si>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</si>
  <si>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</si>
  <si>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</si>
  <si>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</si>
  <si>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</si>
  <si>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</si>
  <si>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</si>
  <si>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</si>
  <si>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</si>
  <si>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</si>
  <si>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</si>
  <si>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</si>
  <si>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</si>
  <si>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</si>
  <si>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</si>
  <si>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</si>
  <si>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</si>
  <si>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</si>
  <si>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</si>
  <si>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</si>
  <si>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</si>
  <si>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</si>
  <si>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</si>
  <si>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</si>
  <si>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</si>
  <si>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</si>
  <si>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</si>
  <si>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</si>
  <si>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</si>
  <si>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</si>
  <si>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</si>
  <si>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</si>
  <si>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</si>
  <si>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</si>
  <si>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</si>
  <si>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</si>
  <si>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</si>
  <si>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</si>
  <si>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</si>
  <si>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</si>
  <si>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</si>
  <si>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</si>
  <si>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</si>
  <si>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</si>
  <si>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</si>
  <si>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</si>
  <si>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</si>
  <si>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</si>
  <si>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</si>
  <si>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</si>
  <si>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</si>
  <si>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</si>
  <si>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</si>
  <si>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</si>
  <si>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</si>
  <si>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</si>
  <si>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</si>
  <si>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</si>
  <si>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</si>
  <si>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</si>
  <si>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</si>
  <si>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</si>
  <si>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</si>
  <si>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</si>
  <si>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</si>
  <si>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</si>
  <si>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</si>
  <si>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</si>
  <si>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</si>
  <si>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</si>
  <si>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</si>
  <si>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</si>
  <si>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</si>
  <si>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</si>
  <si>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</si>
  <si>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</si>
  <si>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</si>
  <si>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Maria McKee</t>
  </si>
  <si>
    <t>Director of Research &amp; Planning</t>
  </si>
  <si>
    <t>415 635 6979</t>
  </si>
  <si>
    <t>maria.mckee@sfgov.org</t>
  </si>
  <si>
    <t>Veronica Martinez</t>
  </si>
  <si>
    <t>Deputy Director of Administrative Services</t>
  </si>
  <si>
    <t>veronica.martinez@sfgov.org</t>
  </si>
  <si>
    <t xml:space="preserve">415-680-8451 </t>
  </si>
  <si>
    <t xml:space="preserve">Data reported from Department sources. </t>
  </si>
  <si>
    <t>Alternatives to Detention</t>
  </si>
  <si>
    <t>Positive Youth Development, Empowerment, and Opportunity</t>
  </si>
  <si>
    <r>
      <rPr>
        <sz val="10"/>
        <color theme="1"/>
        <rFont val="Arial"/>
      </rPr>
      <t>Expenditure Category</t>
    </r>
    <r>
      <rPr>
        <sz val="8"/>
        <color theme="1"/>
        <rFont val="Arial"/>
      </rPr>
      <t>:</t>
    </r>
  </si>
  <si>
    <t>Community Assessment and Referral Center (CARC)</t>
  </si>
  <si>
    <t>Connective Services</t>
  </si>
  <si>
    <t>Multi Services</t>
  </si>
  <si>
    <r>
      <rPr>
        <sz val="10"/>
        <color theme="1"/>
        <rFont val="Arial"/>
      </rPr>
      <t>Expenditure Category (Required)</t>
    </r>
    <r>
      <rPr>
        <sz val="8"/>
        <color theme="1"/>
        <rFont val="Arial"/>
      </rPr>
      <t>:</t>
    </r>
  </si>
  <si>
    <t>Girls and Young Womens' Programming</t>
  </si>
  <si>
    <t>Detention Based Services</t>
  </si>
  <si>
    <t>Cultural Programming</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</si>
  <si>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</si>
  <si>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</si>
  <si>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</si>
  <si>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</si>
  <si>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</si>
  <si>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</si>
  <si>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</si>
  <si>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</si>
  <si>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t>DOJ has not provided 1 and 3 or the Arrest Report to San Francisco County. Data has been reported with Department sources where available. 
The "Diversions" category includes Informal Probation (WIC 654).
Demographic data above reflect referrals. Referrals associated with youth who identify as Pacific Islander are included in the category, "Asian."</t>
  </si>
  <si>
    <t xml:space="preserve">DOJ has not provided 1 and 3 or the Arrest Report to San Francisco County. Data has been reported with Department sources where available. 
The "Informal Probation" category includes Diversion (WIC 654.2).
All types of Wardship Placement other than Secure County Facility are included in the category, "Other."
Demographic data above reflect petitions. Petitions associated with youth who identify as Pacific Islander are included in the category, "Asian." Petitions associated with youth who identify as White are included in the category, "Unknown," due to the small sample size.
</t>
  </si>
  <si>
    <t>In 2023, juvenile referrals in San Francisco returned to pre-pandemic levels as pandemic era restrictions lifted and schools and businesses reopened. However, while there were nearly the same number of arrests in 2023 as in 2019, the rate of arrests resulting in detention declined significantly: Juvenile Hall Admissions are down 40% since 2019. 
Starting in 2020, due to the closure and realignment of the state youth prison system, there are increasing numbers of young adults committed to the San Francisco Juvenile Justice Center. In 2023, 32% of the Average Daily Population (ADP) was 18 and older.
Notably, while the percentage of all arrests involving girls has been relatively constant over time, there has been a large decline in the number of girls housed in the San Francisco Juvenile Justice Center (JJC). In 2019, 24% of JJC ADP was girls, compared with 8% in 2023. 
Juvenile arrests in San Francisco continue to demonstrate significant disproportionate minority contact. In 2023, 50% of arrests involved youth who identified as African American, and 38% of arrests involved youth who identified as Latino/a/x. However, this disproportionality has shifted in recent years to impact greater numbers of Latino/a/x youth. In 2022, 69% of arrests involved youth who identified as African American, and 19% of arrests involved youth who identified as Latino/a/x.
Results from DCYF Survey: 
Unique Participants in DCYF Justice Services by Age:
Under 18: 796
18-24: 658
25+: 59
Percent of youth survey respondents in DCYF Justice Services who reported receiving these resources:
Child Care: 14%
Counseling or other mental health services: 40%
Education-related services: 42%
Food assistance: 25%
Housing assistance: 21%
Medical or dental care: 11%
MUNI or BART tickets/passes: 18%
Work-appropriate clothing or work-related equipment: 21%
Percent of youth survey respondents in DCYF Justice Services who reported these program impacts:
I am better able to handle problems and challenges when they arise: 79%
I improved my ability to work with others: 82%
I want to do better in school/at work: 82%
I am more motivated to continue my education or explore future careers: 91%
I have clearer goals for my future: 75%
I am looking forward to my future: 88%
Youth survey sample size = 56
Strategies who participated in the survey in FY23/24 were:
Young Adult Court
Cultural programming
Girls' and Young Women's Programming
Mult-service programming</t>
  </si>
  <si>
    <t xml:space="preserve">The Cultural Programming Strategy is designed to address the unique needs of youth of color involved in the juvenile or adult criminal justice systems. The Cultural Programming Strategy leverages culturally based approaches to help reduce the chance of further engagement with the juvenile or adult criminal justice systems. Programs provide a range of services including case management, mentorship, skill building opportunities, educational reengagement, access to resources, life skills workshops and other supports. The Cultural Programming Strategy targets youth who are pre- and post-adjudicated or are court referred as an alternative to secure confinement and disconnected Transitional Aged Youth (TAY) who have been charged, indicted or who are on active probation.
Cultural Programs give system involved youth and disconnected TAY the opportunity to strengthen their sense of identity and build resiliency while engaging in activities that are informed by their culture. Programming in this strategy includes a range of highly structured approaches for engaging participants and educating them about their cultural background, history and values. In addition, programs look to leverage cultural assets through mentorship, project based learning, caregiver/family engagement, community service, recreational activities, restorative justice programming, etc.
Cultural Programs provide case management for participants.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Cultural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Cultural Programs incorporate social and emotional learning principles into programming including forming positive relationships, growth mindset, self-efficacy, self-management and social awareness.
Salaries &amp; Benefits reflect DCYF personnel. </t>
  </si>
  <si>
    <t xml:space="preserve">The Detention Based Services Strategy is designed to support programs that help build pro-social skills and resiliency for youth and disconnected TAY in detention. Detention Based Services programs engage participants in positive activities that aim to help them see beyond their current circumstances. Detention Based Services programs offer services to participants regardless of their lengths of stay in detention. While programs only operate in detention settings, they may seek to connect youth and disconnected TAY to services upon exit. The Detention Based Services Strategy targets youth in juvenile detention and disconnected TAY in adult detention and includes, but is not limited to activities such as enrichment programming, skill and knowledge building activities and other opportunities to build resiliency.
Detention Based Programs provide structured programming that gives youth and or disconnected TAY in detention the opportunity to explore topics, build skills, support their growth and education and/or engage in gender responsive or culturally focused activities all designed to increase resiliency as they prepare to reenter the community. In addition, while Detention Based Services programs only operate in detention settings, programs may intentionally connect participants they are working with to additional services or resources once they have exited custody.
Detention Based Programs strive to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Detention Based Programs incorporate social and emotional learning principles into programming including forming positive relationships, growth mindset, self-efficacy, self-management and social awareness.
Salaries &amp; Benefits reflect DCYF personnel. </t>
  </si>
  <si>
    <t xml:space="preserve">The Girls’ and Young Women's Programming Strategy is designed to address the unique needs of systeminvolved girls and disconnected transitional age young women. Programs in this strategy focus on promoting the development and resiliency of girls and young women by helping them build the skills and knowledge needed to increase their chance of future success. Programs provide a range of services including case management, mentorship, skill building opportunities, educational reengagement, access to resources, life skills workshops and other supports. The Girls’ and Young Women's Programming Strategy targets girls who are pre- and postadjudicated or are court referred as an alternative to secure confinement and disconnected transitional age young women who have been charged, indicted or who are on active probation.
Girls' and Young Women's Programs provide structured programming that gives girls and disconnected transitional age young women the opportunity to explore topics, build skills, support their growth and education and/or engage in culturally based activities all designed to increase resiliency. Programming includes but is not limited to mentorship, tutoring, life skills training, recreational activities, restorative justice programming, caregiver/family engagement, etc.
Girls' and Young Women's Programs provide case management for participants.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Girls' and Young Women's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Girls' and Young Women's Programs incorporate social and emotional learning principles into programming including forming positive relationships, growth mindset, self-efficacy, self-management and social awareness.
Salaries &amp; Benefits reflect DCYF personnel. </t>
  </si>
  <si>
    <t xml:space="preserve">The Multi-Service Strategy is designed to reduce recidivism, ensure successful reentry and help youth and disconnected TAY build the skills and resiliency to prevent further engagement in the juvenile or criminal justice systems. The Multi-Service Strategy connects participants with providers who are able to work with them throughout their involvement in the system including making initial connections, as needed, while participants are in detention. Because of the multi-faceted needs of justice-involved youth and disconnected TAY, Multi-Service programming includes services that encompass those funded under other Justice Services strategies. MultiService programs provide a wide range of services including, but not limited to, case management, supportive services, mentorship, skill building opportunities, educational reengagement, access to resources, life skills workshops and connection to other positive activities that help participants complete court mandates and permanently exit the justice system. Multi-Service programs may be required to provide intensive supervision, or day or evening reporting services, as well as services that help reduce opportunities to re-offend including house arrest and/or community monitoring. Multi-Service programs may also provide services that are gender responsive and/ or culturally based, depending on the needs of their participants, and may include family partnership activities as a part of their approach. Multi-Service programs will target youth and disconnected TAY who have made formal connection with the system, are in custody or reentering their communities.
Multi-Service Programs provide structured programming that gives youth and disconnected TAY the opportunity to explore topics, build skills, support their growth and education and/or engage in culturally based and or gender responsive activities all designed to increase resiliency as youth prepare to reenter the community. Programming includes but is not limited to mentorship, tutoring, life skills training, recreational activities, restorative justice programming, etc.
Multi-Service Programs provide case management for participants from the point of referral into the program until exit from the system.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Multi-Service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Multi-Service Programs incorporate social and emotional learning principles into programming including forming positive relationships, growth mindset, self-efficacy, self-management and social awareness.
Salaries &amp; Benefits reflect DCYF personnel. </t>
  </si>
  <si>
    <t xml:space="preserve">DCYF's Connective Services grants are designed to provide at-risk youth and disconnected TAY with opportunities to connect to caring adult role models who can help them achieve their goals and build their self-esteem. Connective Services programs promote positive social and emotional learning and use a range of programming models that includes mentoring, activities that help develop caring relationships between youth and staff, individual and group support, connection to needed services and resources, restorative justice practices, positive youth development activities and culturally focused programming. 
Service Goals:
-  To increase participants’ access to long-lasting, caring, positive adult relationships
-  To increase participants’ connection to resources
-  To reduce the impact of trauma on participants and increase their peer, family and community relationships, self-esteem and self-identity
-  To provide services that stabilize youth’s life.
Salaries &amp; Benefits reflect DCYF personnel. </t>
  </si>
  <si>
    <t xml:space="preserve">The Community Assessment and Resource Center (CARC) is a community-based alternative for youth ages 11-17 who are arrested citywide for a variety of criminal offenses. CARC provides a single point of entry for crisis intervention, assessment, case management, counseling, service integration, and referrals. CARC's hours of operation are M-F 9:00am-10:00pm. While the number of youth entering Juvenile Justice and Juvenile Probation has decreased, CARC has increased its services to youth that include: Pre-Arrest Diversion, Restorative Justice Conferences, Alternatives to Traditional Restitution Programming, Parents Group, Life Skills Group, and social emotional learning assessment and activities . CARC also receives referrals from the DA for youth diverted from the formal process.
Salaries &amp; Benefits reflect DCYF personnel.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</si>
</sst>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1">
    <font>
      <sz val="10"/>
      <color rgb="FF000000"/>
      <name val="Arial"/>
      <scheme val="minor"/>
    </font>
    <font>
      <sz val="11"/>
      <color theme="1"/>
      <name val="Arial"/>
      <family val="2"/>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i/>
      <sz val="10"/>
      <color theme="1"/>
      <name val="Arial"/>
      <family val="2"/>
    </font>
    <font>
      <b/>
      <i/>
      <sz val="10"/>
      <color theme="1"/>
      <name val="Arial"/>
      <family val="2"/>
    </font>
    <font>
      <sz val="11"/>
      <color rgb="FF92D050"/>
      <name val="Calibri"/>
      <family val="2"/>
    </font>
    <font>
      <b/>
      <sz val="11"/>
      <color theme="1"/>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sz val="8"/>
      <color theme="1"/>
      <name val="Arial"/>
      <family val="2"/>
    </font>
    <font>
      <sz val="8"/>
      <color theme="1"/>
      <name val="Arial"/>
      <family val="2"/>
    </font>
    <font>
      <b/>
      <i/>
      <sz val="20"/>
      <color theme="1"/>
      <name val="Arial"/>
      <family val="2"/>
    </font>
    <font>
      <b/>
      <sz val="20"/>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name val="Arial"/>
      <family val="2"/>
    </font>
    <font>
      <sz val="10"/>
      <name val="Figtree"/>
    </font>
    <font>
      <sz val="10"/>
      <color rgb="FF000000"/>
      <name val="Arial"/>
      <family val="2"/>
      <scheme val="minor"/>
    </font>
    <font>
      <u/>
      <sz val="10"/>
      <color theme="10"/>
      <name val="Arial"/>
      <scheme val="minor"/>
    </font>
    <font>
      <sz val="10"/>
      <color rgb="FF000000"/>
      <name val="Arial"/>
      <scheme val="minor"/>
    </font>
    <font>
      <sz val="10"/>
      <name val="Arial"/>
    </font>
    <font>
      <sz val="10"/>
      <color theme="1"/>
      <name val="Arial"/>
    </font>
    <font>
      <b/>
      <sz val="10"/>
      <color theme="1"/>
      <name val="Arial"/>
    </font>
    <font>
      <sz val="8"/>
      <color theme="1"/>
      <name val="Arial"/>
    </font>
    <font>
      <b/>
      <sz val="11"/>
      <color rgb="FFFFFFFF"/>
      <name val="Arial"/>
    </font>
    <font>
      <b/>
      <i/>
      <sz val="12"/>
      <color theme="1"/>
      <name val="Arial"/>
    </font>
    <font>
      <b/>
      <sz val="12"/>
      <color theme="1"/>
      <name val="Arial"/>
    </font>
    <font>
      <i/>
      <sz val="10"/>
      <color theme="1"/>
      <name val="Arial"/>
    </font>
    <font>
      <b/>
      <i/>
      <sz val="10"/>
      <color theme="1"/>
      <name val="Arial"/>
    </font>
    <font>
      <b/>
      <sz val="8"/>
      <color theme="1"/>
      <name val="Arial"/>
    </font>
    <font>
      <b/>
      <sz val="11"/>
      <color theme="1"/>
      <name val="Arial"/>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1" fillId="0" borderId="16"/>
    <xf numFmtId="0" fontId="48" fillId="0" borderId="0" applyNumberFormat="0" applyFill="0" applyBorder="0" applyAlignment="0" applyProtection="0"/>
    <xf numFmtId="0" fontId="49" fillId="0" borderId="16"/>
  </cellStyleXfs>
  <cellXfs count="379">
    <xf numFmtId="0" fontId="0" fillId="0" borderId="0" xfId="0"/>
    <xf numFmtId="0" fontId="8" fillId="0" borderId="0" xfId="0" applyFont="1" applyAlignment="1">
      <alignment horizontal="left" vertical="top" wrapText="1"/>
    </xf>
    <xf numFmtId="0" fontId="7" fillId="0" borderId="0" xfId="0" applyFont="1" applyAlignment="1">
      <alignment vertical="top" wrapText="1"/>
    </xf>
    <xf numFmtId="0" fontId="2" fillId="0" borderId="0" xfId="0" applyFont="1" applyAlignment="1">
      <alignment horizontal="left" vertical="center"/>
    </xf>
    <xf numFmtId="0" fontId="9" fillId="0" borderId="0" xfId="0" applyFont="1" applyAlignment="1">
      <alignment horizontal="left"/>
    </xf>
    <xf numFmtId="0" fontId="2" fillId="0" borderId="0" xfId="0" applyFont="1"/>
    <xf numFmtId="0" fontId="2" fillId="0" borderId="0" xfId="0" applyFont="1" applyAlignment="1">
      <alignment horizontal="right"/>
    </xf>
    <xf numFmtId="0" fontId="2"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left"/>
    </xf>
    <xf numFmtId="0" fontId="2" fillId="0" borderId="0" xfId="0" applyFont="1" applyAlignment="1">
      <alignment vertical="center"/>
    </xf>
    <xf numFmtId="0" fontId="15" fillId="0" borderId="0" xfId="0" applyFont="1" applyAlignment="1">
      <alignment horizontal="center" vertical="center" wrapText="1"/>
    </xf>
    <xf numFmtId="0" fontId="20" fillId="0" borderId="0" xfId="0" applyFont="1"/>
    <xf numFmtId="41" fontId="21" fillId="0" borderId="0" xfId="0" applyNumberFormat="1" applyFont="1"/>
    <xf numFmtId="41" fontId="2" fillId="0" borderId="0" xfId="0" applyNumberFormat="1" applyFont="1"/>
    <xf numFmtId="0" fontId="21" fillId="0" borderId="0" xfId="0" applyFont="1" applyAlignment="1">
      <alignment horizontal="left"/>
    </xf>
    <xf numFmtId="41" fontId="21" fillId="0" borderId="0" xfId="0" applyNumberFormat="1" applyFont="1" applyAlignment="1">
      <alignment horizontal="center"/>
    </xf>
    <xf numFmtId="41" fontId="2" fillId="0" borderId="0" xfId="0" applyNumberFormat="1" applyFont="1" applyAlignment="1">
      <alignment vertical="center"/>
    </xf>
    <xf numFmtId="43" fontId="2" fillId="0" borderId="0" xfId="0" applyNumberFormat="1" applyFont="1"/>
    <xf numFmtId="0" fontId="22" fillId="0" borderId="0" xfId="0" applyFont="1"/>
    <xf numFmtId="0" fontId="23" fillId="0" borderId="0" xfId="0" applyFont="1"/>
    <xf numFmtId="0" fontId="24" fillId="0" borderId="0" xfId="0" applyFont="1" applyAlignment="1">
      <alignment horizontal="left"/>
    </xf>
    <xf numFmtId="0" fontId="25" fillId="0" borderId="0" xfId="0" applyFont="1" applyAlignment="1">
      <alignment vertical="center"/>
    </xf>
    <xf numFmtId="0" fontId="24" fillId="0" borderId="0" xfId="0" applyFont="1"/>
    <xf numFmtId="0" fontId="26" fillId="0" borderId="0" xfId="0" applyFont="1"/>
    <xf numFmtId="0" fontId="2" fillId="0" borderId="0" xfId="0" applyFont="1" applyAlignment="1">
      <alignment vertical="top"/>
    </xf>
    <xf numFmtId="0" fontId="11" fillId="0" borderId="0" xfId="0" applyFont="1" applyAlignment="1">
      <alignment horizontal="center"/>
    </xf>
    <xf numFmtId="0" fontId="22" fillId="0" borderId="0" xfId="0" applyFont="1" applyAlignment="1">
      <alignment horizontal="center" vertical="center"/>
    </xf>
    <xf numFmtId="41" fontId="2" fillId="0" borderId="0" xfId="0" applyNumberFormat="1" applyFont="1" applyAlignment="1">
      <alignment horizontal="center"/>
    </xf>
    <xf numFmtId="0" fontId="22" fillId="0" borderId="0" xfId="0" applyFont="1" applyAlignment="1">
      <alignment horizontal="right" vertical="top"/>
    </xf>
    <xf numFmtId="43" fontId="22" fillId="0" borderId="0" xfId="0" applyNumberFormat="1" applyFont="1" applyAlignment="1">
      <alignment horizontal="center" vertical="center"/>
    </xf>
    <xf numFmtId="0" fontId="2" fillId="0" borderId="0" xfId="0" applyFont="1" applyAlignment="1">
      <alignment horizontal="left" vertical="top"/>
    </xf>
    <xf numFmtId="0" fontId="28" fillId="0" borderId="0" xfId="0" applyFont="1"/>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left" vertical="center"/>
    </xf>
    <xf numFmtId="0" fontId="29" fillId="0" borderId="0" xfId="0" applyFont="1"/>
    <xf numFmtId="0" fontId="31" fillId="0" borderId="0" xfId="0" applyFont="1"/>
    <xf numFmtId="0" fontId="22" fillId="0" borderId="0" xfId="0" applyFont="1" applyAlignment="1">
      <alignment horizontal="right"/>
    </xf>
    <xf numFmtId="0" fontId="12" fillId="0" borderId="0" xfId="0" applyFont="1"/>
    <xf numFmtId="0" fontId="15" fillId="0" borderId="0" xfId="0" applyFont="1" applyAlignment="1">
      <alignment horizontal="center"/>
    </xf>
    <xf numFmtId="0" fontId="2" fillId="0" borderId="9" xfId="0" applyFont="1" applyBorder="1"/>
    <xf numFmtId="0" fontId="32" fillId="0" borderId="9" xfId="0" applyFont="1" applyBorder="1" applyAlignment="1">
      <alignment horizontal="center"/>
    </xf>
    <xf numFmtId="0" fontId="32" fillId="0" borderId="9" xfId="0" applyFont="1" applyBorder="1"/>
    <xf numFmtId="0" fontId="32" fillId="0" borderId="0" xfId="0" applyFont="1"/>
    <xf numFmtId="0" fontId="33" fillId="0" borderId="0" xfId="0" applyFont="1" applyAlignment="1">
      <alignment horizontal="center"/>
    </xf>
    <xf numFmtId="0" fontId="33" fillId="0" borderId="0" xfId="0" applyFont="1"/>
    <xf numFmtId="0" fontId="2" fillId="0" borderId="0" xfId="0" applyFont="1" applyAlignment="1">
      <alignment vertical="top" wrapText="1"/>
    </xf>
    <xf numFmtId="0" fontId="23" fillId="0" borderId="0" xfId="0" applyFont="1" applyAlignment="1">
      <alignment vertical="top" wrapText="1"/>
    </xf>
    <xf numFmtId="49" fontId="2" fillId="0" borderId="0" xfId="0" applyNumberFormat="1" applyFont="1" applyAlignment="1">
      <alignment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35" fillId="0" borderId="0" xfId="0" applyFont="1"/>
    <xf numFmtId="0" fontId="23" fillId="11" borderId="17" xfId="0" applyFont="1" applyFill="1" applyBorder="1" applyAlignment="1">
      <alignment horizontal="center" vertical="center"/>
    </xf>
    <xf numFmtId="41" fontId="23" fillId="11" borderId="17" xfId="0" applyNumberFormat="1" applyFont="1" applyFill="1" applyBorder="1"/>
    <xf numFmtId="0" fontId="21" fillId="0" borderId="0" xfId="0" applyFont="1"/>
    <xf numFmtId="0" fontId="27" fillId="11" borderId="17" xfId="0" applyFont="1" applyFill="1" applyBorder="1" applyAlignment="1">
      <alignment horizontal="center" vertical="center"/>
    </xf>
    <xf numFmtId="0" fontId="2" fillId="12" borderId="17" xfId="0" applyFont="1" applyFill="1" applyBorder="1"/>
    <xf numFmtId="0" fontId="2" fillId="0" borderId="17" xfId="0" applyFont="1" applyBorder="1"/>
    <xf numFmtId="0" fontId="2" fillId="12" borderId="18" xfId="0" applyFont="1" applyFill="1" applyBorder="1"/>
    <xf numFmtId="0" fontId="2" fillId="12" borderId="19" xfId="0" applyFont="1" applyFill="1" applyBorder="1"/>
    <xf numFmtId="0" fontId="2" fillId="0" borderId="17" xfId="0" applyFont="1" applyBorder="1" applyAlignment="1">
      <alignment horizontal="center"/>
    </xf>
    <xf numFmtId="0" fontId="2" fillId="12" borderId="18" xfId="0" applyFont="1" applyFill="1" applyBorder="1" applyAlignment="1">
      <alignment horizontal="left"/>
    </xf>
    <xf numFmtId="0" fontId="2" fillId="12" borderId="19" xfId="0" applyFont="1" applyFill="1" applyBorder="1" applyAlignment="1">
      <alignment horizontal="left"/>
    </xf>
    <xf numFmtId="0" fontId="37" fillId="12" borderId="19" xfId="0" applyFont="1" applyFill="1" applyBorder="1"/>
    <xf numFmtId="0" fontId="37" fillId="0" borderId="17" xfId="0" applyFont="1" applyBorder="1" applyAlignment="1">
      <alignment horizontal="center"/>
    </xf>
    <xf numFmtId="0" fontId="2" fillId="12" borderId="20" xfId="0" applyFont="1" applyFill="1" applyBorder="1"/>
    <xf numFmtId="0" fontId="2" fillId="0" borderId="21" xfId="0" applyFont="1" applyBorder="1" applyAlignment="1">
      <alignment horizontal="center"/>
    </xf>
    <xf numFmtId="0" fontId="38" fillId="0" borderId="0" xfId="0" applyFont="1"/>
    <xf numFmtId="14" fontId="2" fillId="0" borderId="0" xfId="0" applyNumberFormat="1" applyFont="1" applyAlignment="1">
      <alignment horizontal="left"/>
    </xf>
    <xf numFmtId="1" fontId="2" fillId="0" borderId="0" xfId="0" applyNumberFormat="1" applyFont="1"/>
    <xf numFmtId="49" fontId="38" fillId="0" borderId="0" xfId="0" applyNumberFormat="1" applyFont="1"/>
    <xf numFmtId="42" fontId="2" fillId="0" borderId="0" xfId="0" applyNumberFormat="1" applyFont="1"/>
    <xf numFmtId="44" fontId="2" fillId="0" borderId="0" xfId="0" applyNumberFormat="1" applyFont="1"/>
    <xf numFmtId="0" fontId="3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25" fillId="0" borderId="0" xfId="0" applyFont="1" applyAlignment="1">
      <alignment horizontal="left" vertical="center"/>
    </xf>
    <xf numFmtId="0" fontId="24" fillId="0" borderId="0" xfId="0" applyFont="1" applyAlignment="1">
      <alignment horizontal="left" vertical="center"/>
    </xf>
    <xf numFmtId="0" fontId="18" fillId="0" borderId="0" xfId="0" applyFont="1" applyAlignment="1">
      <alignment horizontal="left" vertical="top"/>
    </xf>
    <xf numFmtId="0" fontId="19" fillId="0" borderId="0" xfId="0" applyFont="1" applyAlignment="1">
      <alignment horizontal="center" vertical="center"/>
    </xf>
    <xf numFmtId="0" fontId="23" fillId="0" borderId="0" xfId="0" applyFont="1" applyAlignment="1">
      <alignment horizontal="left" vertical="top" wrapText="1"/>
    </xf>
    <xf numFmtId="0" fontId="2" fillId="0" borderId="0" xfId="0" applyFont="1" applyAlignment="1">
      <alignment horizontal="center"/>
    </xf>
    <xf numFmtId="0" fontId="23" fillId="0" borderId="0" xfId="0" applyFont="1" applyAlignment="1">
      <alignment horizontal="left"/>
    </xf>
    <xf numFmtId="0" fontId="47" fillId="0" borderId="0" xfId="0" applyFont="1" applyAlignment="1">
      <alignment wrapText="1"/>
    </xf>
    <xf numFmtId="0" fontId="47" fillId="0" borderId="0" xfId="0" applyFont="1"/>
    <xf numFmtId="0" fontId="2" fillId="0" borderId="18" xfId="0" applyFont="1" applyBorder="1"/>
    <xf numFmtId="0" fontId="2" fillId="0" borderId="19" xfId="0" applyFont="1" applyBorder="1"/>
    <xf numFmtId="0" fontId="2" fillId="0" borderId="3" xfId="0" applyFont="1" applyBorder="1"/>
    <xf numFmtId="0" fontId="4" fillId="2" borderId="3" xfId="0" applyFont="1" applyFill="1" applyBorder="1"/>
    <xf numFmtId="0" fontId="2" fillId="2" borderId="4" xfId="0" applyFont="1" applyFill="1" applyBorder="1"/>
    <xf numFmtId="0" fontId="6" fillId="3" borderId="16" xfId="0" applyFont="1" applyFill="1" applyBorder="1" applyAlignment="1">
      <alignment horizontal="left"/>
    </xf>
    <xf numFmtId="0" fontId="6" fillId="3" borderId="16" xfId="0" applyFont="1" applyFill="1" applyBorder="1"/>
    <xf numFmtId="0" fontId="6" fillId="3" borderId="4" xfId="0" applyFont="1" applyFill="1" applyBorder="1"/>
    <xf numFmtId="0" fontId="7" fillId="3" borderId="16" xfId="0" applyFont="1" applyFill="1" applyBorder="1" applyAlignment="1">
      <alignment horizontal="left"/>
    </xf>
    <xf numFmtId="0" fontId="7" fillId="3" borderId="4" xfId="0" applyFont="1" applyFill="1" applyBorder="1" applyAlignment="1">
      <alignment horizontal="left"/>
    </xf>
    <xf numFmtId="0" fontId="2" fillId="2" borderId="12"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2" fillId="0" borderId="20" xfId="0" applyFont="1" applyBorder="1" applyAlignment="1">
      <alignment horizontal="center"/>
    </xf>
    <xf numFmtId="0" fontId="2" fillId="0" borderId="4" xfId="0" applyFont="1" applyBorder="1" applyAlignment="1">
      <alignment horizontal="left"/>
    </xf>
    <xf numFmtId="0" fontId="8" fillId="0" borderId="20" xfId="0" applyFont="1" applyBorder="1" applyAlignment="1">
      <alignment horizontal="left" vertical="top" wrapText="1"/>
    </xf>
    <xf numFmtId="0" fontId="8" fillId="0" borderId="4" xfId="0" applyFont="1" applyBorder="1" applyAlignment="1">
      <alignment horizontal="left" vertical="top" wrapText="1"/>
    </xf>
    <xf numFmtId="0" fontId="7" fillId="0" borderId="20" xfId="0" applyFont="1" applyBorder="1" applyAlignment="1">
      <alignment vertical="top" wrapText="1"/>
    </xf>
    <xf numFmtId="0" fontId="7" fillId="0" borderId="4" xfId="0" applyFont="1" applyBorder="1" applyAlignment="1">
      <alignment vertical="top" wrapText="1"/>
    </xf>
    <xf numFmtId="0" fontId="9" fillId="3" borderId="1" xfId="0" applyFont="1" applyFill="1" applyBorder="1"/>
    <xf numFmtId="0" fontId="9" fillId="3" borderId="5" xfId="0" applyFont="1" applyFill="1" applyBorder="1"/>
    <xf numFmtId="0" fontId="9" fillId="3" borderId="2" xfId="0" applyFont="1" applyFill="1" applyBorder="1"/>
    <xf numFmtId="0" fontId="9" fillId="0" borderId="20" xfId="0" applyFont="1" applyBorder="1" applyAlignment="1">
      <alignment horizontal="left"/>
    </xf>
    <xf numFmtId="0" fontId="9" fillId="0" borderId="19" xfId="0" applyFont="1" applyBorder="1" applyAlignment="1">
      <alignment horizontal="left"/>
    </xf>
    <xf numFmtId="0" fontId="9" fillId="0" borderId="3" xfId="0" applyFont="1" applyBorder="1" applyAlignment="1">
      <alignment horizontal="left"/>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4" fillId="0" borderId="20"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20" xfId="0" applyFont="1" applyBorder="1" applyAlignment="1">
      <alignment vertical="center"/>
    </xf>
    <xf numFmtId="0" fontId="2" fillId="0" borderId="4" xfId="0" applyFont="1" applyBorder="1"/>
    <xf numFmtId="0" fontId="2" fillId="0" borderId="20" xfId="0" applyFont="1" applyBorder="1"/>
    <xf numFmtId="41" fontId="2" fillId="0" borderId="4" xfId="0" applyNumberFormat="1" applyFont="1" applyBorder="1"/>
    <xf numFmtId="0" fontId="2" fillId="0" borderId="20" xfId="0" applyFont="1" applyBorder="1" applyAlignment="1">
      <alignment vertical="center"/>
    </xf>
    <xf numFmtId="41" fontId="2" fillId="0" borderId="4" xfId="0" applyNumberFormat="1" applyFont="1" applyBorder="1" applyAlignment="1">
      <alignment vertical="center"/>
    </xf>
    <xf numFmtId="0" fontId="19" fillId="0" borderId="0" xfId="0" applyFont="1" applyAlignment="1">
      <alignment horizontal="left" vertical="top"/>
    </xf>
    <xf numFmtId="43" fontId="2" fillId="0" borderId="4" xfId="0" applyNumberFormat="1" applyFont="1" applyBorder="1"/>
    <xf numFmtId="0" fontId="2" fillId="0" borderId="10" xfId="0" applyFont="1" applyBorder="1"/>
    <xf numFmtId="0" fontId="22" fillId="0" borderId="11" xfId="0" applyFont="1" applyBorder="1"/>
    <xf numFmtId="0" fontId="2" fillId="0" borderId="11" xfId="0" applyFont="1" applyBorder="1"/>
    <xf numFmtId="43" fontId="2" fillId="0" borderId="11" xfId="0" applyNumberFormat="1" applyFont="1" applyBorder="1"/>
    <xf numFmtId="43" fontId="2" fillId="0" borderId="12" xfId="0" applyNumberFormat="1" applyFont="1" applyBorder="1"/>
    <xf numFmtId="0" fontId="22" fillId="0" borderId="4" xfId="0" applyFont="1" applyBorder="1" applyAlignment="1">
      <alignment horizontal="center" wrapText="1"/>
    </xf>
    <xf numFmtId="0" fontId="17" fillId="0" borderId="20" xfId="0" applyFont="1" applyBorder="1"/>
    <xf numFmtId="41" fontId="2" fillId="0" borderId="4" xfId="0" applyNumberFormat="1" applyFont="1" applyBorder="1" applyAlignment="1">
      <alignment horizontal="center"/>
    </xf>
    <xf numFmtId="41" fontId="2" fillId="0" borderId="11" xfId="0" applyNumberFormat="1" applyFont="1" applyBorder="1" applyAlignment="1">
      <alignment horizontal="center"/>
    </xf>
    <xf numFmtId="41" fontId="2" fillId="0" borderId="12" xfId="0" applyNumberFormat="1" applyFont="1" applyBorder="1" applyAlignment="1">
      <alignment horizontal="center"/>
    </xf>
    <xf numFmtId="41" fontId="21" fillId="0" borderId="4" xfId="0" applyNumberFormat="1" applyFont="1" applyBorder="1"/>
    <xf numFmtId="0" fontId="19" fillId="0" borderId="0" xfId="0" applyFont="1" applyAlignment="1">
      <alignment vertical="top"/>
    </xf>
    <xf numFmtId="0" fontId="19" fillId="0" borderId="4" xfId="0" applyFont="1" applyBorder="1" applyAlignment="1">
      <alignment horizontal="left" vertical="top"/>
    </xf>
    <xf numFmtId="0" fontId="15" fillId="0" borderId="20" xfId="0" applyFont="1" applyBorder="1" applyAlignment="1">
      <alignment horizontal="center"/>
    </xf>
    <xf numFmtId="0" fontId="15" fillId="0" borderId="4" xfId="0" applyFont="1" applyBorder="1" applyAlignment="1">
      <alignment horizontal="center"/>
    </xf>
    <xf numFmtId="0" fontId="2" fillId="0" borderId="11" xfId="0" applyFont="1" applyBorder="1" applyAlignment="1">
      <alignment horizontal="center" vertical="center"/>
    </xf>
    <xf numFmtId="0" fontId="2" fillId="0" borderId="5" xfId="0" applyFont="1" applyBorder="1" applyAlignment="1">
      <alignment horizontal="left" vertical="top" wrapText="1"/>
    </xf>
    <xf numFmtId="0" fontId="2" fillId="0" borderId="10" xfId="0" applyFont="1" applyBorder="1" applyAlignment="1">
      <alignment horizontal="center" vertical="center"/>
    </xf>
    <xf numFmtId="0" fontId="2" fillId="0" borderId="20" xfId="0" applyFont="1" applyBorder="1" applyAlignment="1">
      <alignment horizontal="left" vertical="top" wrapText="1"/>
    </xf>
    <xf numFmtId="0" fontId="2" fillId="0" borderId="4" xfId="0" applyFont="1" applyBorder="1" applyAlignment="1">
      <alignment horizontal="left" vertical="top" wrapText="1"/>
    </xf>
    <xf numFmtId="0" fontId="2" fillId="10" borderId="16" xfId="0" applyFont="1" applyFill="1" applyBorder="1"/>
    <xf numFmtId="0" fontId="2" fillId="12" borderId="3" xfId="0" applyFont="1" applyFill="1" applyBorder="1"/>
    <xf numFmtId="0" fontId="2" fillId="12" borderId="3" xfId="0" applyFont="1" applyFill="1" applyBorder="1" applyAlignment="1">
      <alignment horizontal="left"/>
    </xf>
    <xf numFmtId="0" fontId="2" fillId="12" borderId="16" xfId="0" applyFont="1" applyFill="1" applyBorder="1"/>
    <xf numFmtId="0" fontId="2" fillId="12" borderId="4" xfId="0" applyFont="1" applyFill="1" applyBorder="1"/>
    <xf numFmtId="0" fontId="49" fillId="0" borderId="16" xfId="3"/>
    <xf numFmtId="0" fontId="51" fillId="0" borderId="11" xfId="3" applyFont="1" applyBorder="1" applyAlignment="1">
      <alignment horizontal="center" vertical="center"/>
    </xf>
    <xf numFmtId="0" fontId="51" fillId="0" borderId="10" xfId="3" applyFont="1" applyBorder="1" applyAlignment="1">
      <alignment horizontal="center" vertical="center"/>
    </xf>
    <xf numFmtId="0" fontId="51" fillId="0" borderId="5" xfId="3" applyFont="1" applyBorder="1" applyAlignment="1">
      <alignment horizontal="left" vertical="top" wrapText="1"/>
    </xf>
    <xf numFmtId="0" fontId="51" fillId="0" borderId="4" xfId="3" applyFont="1" applyBorder="1" applyAlignment="1">
      <alignment horizontal="left" vertical="top" wrapText="1"/>
    </xf>
    <xf numFmtId="0" fontId="51" fillId="0" borderId="16" xfId="3" applyFont="1" applyAlignment="1">
      <alignment horizontal="left" vertical="top" wrapText="1"/>
    </xf>
    <xf numFmtId="0" fontId="51" fillId="0" borderId="20" xfId="3" applyFont="1" applyBorder="1" applyAlignment="1">
      <alignment horizontal="left" vertical="top" wrapText="1"/>
    </xf>
    <xf numFmtId="0" fontId="51" fillId="0" borderId="16" xfId="3" applyFont="1" applyAlignment="1">
      <alignment horizontal="left" vertical="center" wrapText="1"/>
    </xf>
    <xf numFmtId="0" fontId="52" fillId="0" borderId="16" xfId="3" applyFont="1"/>
    <xf numFmtId="0" fontId="51" fillId="0" borderId="16" xfId="3" applyFont="1" applyAlignment="1">
      <alignment horizontal="center" vertical="center"/>
    </xf>
    <xf numFmtId="49" fontId="51" fillId="0" borderId="16" xfId="3" applyNumberFormat="1" applyFont="1" applyAlignment="1">
      <alignment vertical="top" wrapText="1"/>
    </xf>
    <xf numFmtId="0" fontId="51" fillId="0" borderId="16" xfId="3" applyFont="1" applyAlignment="1">
      <alignment horizontal="left"/>
    </xf>
    <xf numFmtId="0" fontId="51" fillId="0" borderId="16" xfId="3" applyFont="1" applyAlignment="1">
      <alignment horizontal="left" vertical="center"/>
    </xf>
    <xf numFmtId="0" fontId="51" fillId="0" borderId="11" xfId="3" applyFont="1" applyBorder="1"/>
    <xf numFmtId="0" fontId="51" fillId="0" borderId="10" xfId="3" applyFont="1" applyBorder="1"/>
    <xf numFmtId="0" fontId="56" fillId="0" borderId="16" xfId="3" applyFont="1" applyAlignment="1">
      <alignment horizontal="center"/>
    </xf>
    <xf numFmtId="0" fontId="51" fillId="0" borderId="16" xfId="3" applyFont="1" applyAlignment="1">
      <alignment vertical="top" wrapText="1"/>
    </xf>
    <xf numFmtId="0" fontId="52" fillId="0" borderId="16" xfId="3" applyFont="1" applyAlignment="1">
      <alignment horizontal="left" vertical="top" wrapText="1"/>
    </xf>
    <xf numFmtId="0" fontId="52" fillId="0" borderId="16" xfId="3" applyFont="1" applyAlignment="1">
      <alignment vertical="top" wrapText="1"/>
    </xf>
    <xf numFmtId="0" fontId="53" fillId="0" borderId="16" xfId="3" applyFont="1"/>
    <xf numFmtId="0" fontId="53" fillId="0" borderId="16" xfId="3" applyFont="1" applyAlignment="1">
      <alignment horizontal="center"/>
    </xf>
    <xf numFmtId="0" fontId="59" fillId="0" borderId="16" xfId="3" applyFont="1"/>
    <xf numFmtId="0" fontId="59" fillId="0" borderId="9" xfId="3" applyFont="1" applyBorder="1" applyAlignment="1">
      <alignment horizontal="center"/>
    </xf>
    <xf numFmtId="0" fontId="59" fillId="0" borderId="9" xfId="3" applyFont="1" applyBorder="1"/>
    <xf numFmtId="0" fontId="51" fillId="0" borderId="9" xfId="3" applyFont="1" applyBorder="1"/>
    <xf numFmtId="0" fontId="9" fillId="3" borderId="18" xfId="0" applyFont="1" applyFill="1" applyBorder="1" applyAlignment="1">
      <alignment horizontal="left"/>
    </xf>
    <xf numFmtId="0" fontId="3" fillId="0" borderId="19" xfId="0" applyFont="1" applyBorder="1"/>
    <xf numFmtId="0" fontId="3" fillId="0" borderId="3" xfId="0" applyFont="1" applyBorder="1"/>
    <xf numFmtId="0" fontId="10" fillId="4" borderId="18" xfId="0" applyFont="1" applyFill="1" applyBorder="1" applyAlignment="1">
      <alignment horizontal="left" vertical="center"/>
    </xf>
    <xf numFmtId="0" fontId="7" fillId="0" borderId="20" xfId="0" applyFont="1" applyBorder="1" applyAlignment="1">
      <alignment horizontal="left" vertical="top" wrapText="1"/>
    </xf>
    <xf numFmtId="0" fontId="0" fillId="0" borderId="0" xfId="0"/>
    <xf numFmtId="0" fontId="3" fillId="0" borderId="4" xfId="0" applyFont="1" applyBorder="1"/>
    <xf numFmtId="0" fontId="3" fillId="0" borderId="20" xfId="0" applyFont="1" applyBorder="1"/>
    <xf numFmtId="0" fontId="2" fillId="0" borderId="0" xfId="0" applyFont="1" applyAlignment="1">
      <alignment horizontal="left" vertical="top" wrapText="1"/>
    </xf>
    <xf numFmtId="49" fontId="7" fillId="0" borderId="20" xfId="0" applyNumberFormat="1" applyFont="1" applyBorder="1" applyAlignment="1">
      <alignment horizontal="left"/>
    </xf>
    <xf numFmtId="0" fontId="10" fillId="4" borderId="19" xfId="0" applyFont="1" applyFill="1" applyBorder="1" applyAlignment="1">
      <alignment horizontal="left" vertical="center"/>
    </xf>
    <xf numFmtId="0" fontId="7" fillId="0" borderId="10" xfId="0" applyFont="1" applyBorder="1" applyAlignment="1">
      <alignment horizontal="left"/>
    </xf>
    <xf numFmtId="0" fontId="3" fillId="0" borderId="11" xfId="0" applyFont="1" applyBorder="1"/>
    <xf numFmtId="0" fontId="3" fillId="0" borderId="12" xfId="0" applyFont="1" applyBorder="1"/>
    <xf numFmtId="0" fontId="48" fillId="0" borderId="11" xfId="2" applyBorder="1" applyAlignment="1">
      <alignment horizontal="left"/>
    </xf>
    <xf numFmtId="0" fontId="9" fillId="3" borderId="20" xfId="0" applyFont="1" applyFill="1" applyBorder="1" applyAlignment="1">
      <alignment horizontal="left"/>
    </xf>
    <xf numFmtId="0" fontId="3" fillId="0" borderId="16" xfId="0" applyFont="1" applyBorder="1"/>
    <xf numFmtId="0" fontId="2" fillId="0" borderId="0" xfId="0" applyFont="1" applyAlignment="1">
      <alignment horizontal="left"/>
    </xf>
    <xf numFmtId="0" fontId="10" fillId="4" borderId="20" xfId="0" applyFont="1" applyFill="1" applyBorder="1" applyAlignment="1">
      <alignment horizontal="left" vertical="top"/>
    </xf>
    <xf numFmtId="0" fontId="48" fillId="0" borderId="10" xfId="2" applyBorder="1" applyAlignment="1">
      <alignment horizontal="left"/>
    </xf>
    <xf numFmtId="0" fontId="10" fillId="4" borderId="1" xfId="0" applyFont="1" applyFill="1" applyBorder="1" applyAlignment="1">
      <alignment horizontal="left" vertical="center"/>
    </xf>
    <xf numFmtId="0" fontId="3" fillId="0" borderId="5" xfId="0" applyFont="1" applyBorder="1"/>
    <xf numFmtId="0" fontId="3" fillId="0" borderId="2" xfId="0" applyFont="1" applyBorder="1"/>
    <xf numFmtId="0" fontId="7" fillId="0" borderId="1" xfId="0" applyFont="1" applyBorder="1" applyAlignment="1">
      <alignment horizontal="left" vertical="center"/>
    </xf>
    <xf numFmtId="0" fontId="2" fillId="2" borderId="18" xfId="0" applyFont="1" applyFill="1" applyBorder="1" applyAlignment="1">
      <alignment horizontal="center"/>
    </xf>
    <xf numFmtId="0" fontId="3" fillId="0" borderId="10" xfId="0" applyFont="1" applyBorder="1"/>
    <xf numFmtId="0" fontId="5" fillId="3" borderId="18" xfId="0" applyFont="1" applyFill="1" applyBorder="1" applyAlignment="1">
      <alignment horizontal="center"/>
    </xf>
    <xf numFmtId="0" fontId="7" fillId="0" borderId="20" xfId="0" applyFont="1" applyBorder="1" applyAlignment="1">
      <alignment horizontal="left" vertical="center" wrapText="1"/>
    </xf>
    <xf numFmtId="0" fontId="8" fillId="0" borderId="20" xfId="0" applyFont="1" applyBorder="1" applyAlignment="1">
      <alignment horizontal="left" vertical="top" wrapText="1"/>
    </xf>
    <xf numFmtId="14" fontId="7" fillId="0" borderId="1" xfId="0" applyNumberFormat="1" applyFont="1" applyBorder="1" applyAlignment="1">
      <alignment horizontal="left" vertical="center"/>
    </xf>
    <xf numFmtId="41" fontId="2" fillId="6" borderId="1" xfId="0" applyNumberFormat="1" applyFont="1" applyFill="1" applyBorder="1" applyAlignment="1">
      <alignment horizontal="center"/>
    </xf>
    <xf numFmtId="0" fontId="2" fillId="0" borderId="18"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1" fillId="6" borderId="1" xfId="0" applyFont="1" applyFill="1" applyBorder="1" applyAlignment="1">
      <alignment horizontal="left"/>
    </xf>
    <xf numFmtId="0" fontId="21" fillId="0" borderId="1" xfId="0" applyFont="1" applyBorder="1" applyAlignment="1">
      <alignment horizontal="left"/>
    </xf>
    <xf numFmtId="41" fontId="2" fillId="0" borderId="1" xfId="0" applyNumberFormat="1" applyFont="1" applyBorder="1" applyAlignment="1">
      <alignment horizontal="center"/>
    </xf>
    <xf numFmtId="0" fontId="22" fillId="7" borderId="1" xfId="0" applyFont="1" applyFill="1" applyBorder="1" applyAlignment="1">
      <alignment horizontal="right"/>
    </xf>
    <xf numFmtId="41" fontId="23" fillId="7" borderId="1" xfId="0" applyNumberFormat="1" applyFont="1" applyFill="1" applyBorder="1" applyAlignment="1">
      <alignment horizontal="center"/>
    </xf>
    <xf numFmtId="41" fontId="2" fillId="0" borderId="1" xfId="0" applyNumberFormat="1" applyFont="1" applyBorder="1" applyAlignment="1">
      <alignment horizontal="center" vertical="center"/>
    </xf>
    <xf numFmtId="0" fontId="18" fillId="0" borderId="0" xfId="0" applyFont="1" applyAlignment="1">
      <alignment horizontal="left" vertical="top"/>
    </xf>
    <xf numFmtId="0" fontId="11" fillId="5" borderId="1" xfId="0" applyFont="1" applyFill="1" applyBorder="1" applyAlignment="1">
      <alignment horizontal="right" vertical="center"/>
    </xf>
    <xf numFmtId="0" fontId="12" fillId="5" borderId="5" xfId="0" applyFont="1" applyFill="1" applyBorder="1" applyAlignment="1">
      <alignment horizontal="center" vertical="center"/>
    </xf>
    <xf numFmtId="0" fontId="13"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6" fillId="0" borderId="0" xfId="0" applyFont="1" applyAlignment="1">
      <alignment horizontal="center" vertical="top" wrapText="1"/>
    </xf>
    <xf numFmtId="0" fontId="2" fillId="0" borderId="1" xfId="0" applyFont="1" applyBorder="1" applyAlignment="1">
      <alignment horizontal="left" vertical="center"/>
    </xf>
    <xf numFmtId="0" fontId="22" fillId="7" borderId="1" xfId="0" applyFont="1" applyFill="1" applyBorder="1" applyAlignment="1">
      <alignment horizontal="right" vertical="center"/>
    </xf>
    <xf numFmtId="41" fontId="22" fillId="7" borderId="1" xfId="0" applyNumberFormat="1" applyFont="1" applyFill="1" applyBorder="1" applyAlignment="1">
      <alignment horizontal="center" vertical="center"/>
    </xf>
    <xf numFmtId="0" fontId="18" fillId="0" borderId="0" xfId="0" applyFont="1" applyAlignment="1">
      <alignment horizontal="left"/>
    </xf>
    <xf numFmtId="0" fontId="2" fillId="6" borderId="1" xfId="0" applyFont="1" applyFill="1" applyBorder="1" applyAlignment="1">
      <alignment horizontal="left"/>
    </xf>
    <xf numFmtId="0" fontId="2" fillId="6" borderId="1" xfId="0" applyFont="1" applyFill="1" applyBorder="1" applyAlignment="1">
      <alignment horizontal="left" vertical="center"/>
    </xf>
    <xf numFmtId="41" fontId="2" fillId="6" borderId="1" xfId="0" applyNumberFormat="1" applyFont="1" applyFill="1" applyBorder="1" applyAlignment="1">
      <alignment horizontal="center" vertical="center"/>
    </xf>
    <xf numFmtId="0" fontId="2" fillId="0" borderId="1" xfId="0" applyFont="1" applyBorder="1" applyAlignment="1">
      <alignment horizontal="left"/>
    </xf>
    <xf numFmtId="0" fontId="23" fillId="7" borderId="1" xfId="0" applyFont="1" applyFill="1" applyBorder="1" applyAlignment="1">
      <alignment horizontal="right"/>
    </xf>
    <xf numFmtId="0" fontId="18" fillId="0" borderId="0" xfId="0" applyFont="1" applyAlignment="1">
      <alignment horizontal="left" vertical="center"/>
    </xf>
    <xf numFmtId="0" fontId="19" fillId="0" borderId="0" xfId="0" applyFont="1" applyAlignment="1">
      <alignment horizontal="left" vertical="center"/>
    </xf>
    <xf numFmtId="0" fontId="21" fillId="6" borderId="1" xfId="0" applyFont="1" applyFill="1" applyBorder="1" applyAlignment="1">
      <alignment horizontal="left" vertical="top"/>
    </xf>
    <xf numFmtId="41" fontId="21" fillId="6" borderId="1" xfId="0" applyNumberFormat="1" applyFont="1" applyFill="1" applyBorder="1" applyAlignment="1">
      <alignment horizontal="center" vertical="top"/>
    </xf>
    <xf numFmtId="0" fontId="21" fillId="0" borderId="1" xfId="0" applyFont="1" applyBorder="1" applyAlignment="1">
      <alignment horizontal="left" vertical="top"/>
    </xf>
    <xf numFmtId="41" fontId="21" fillId="0" borderId="1" xfId="0" applyNumberFormat="1" applyFont="1" applyBorder="1" applyAlignment="1">
      <alignment horizontal="center" vertical="top"/>
    </xf>
    <xf numFmtId="0" fontId="27" fillId="7" borderId="1" xfId="0" applyFont="1" applyFill="1" applyBorder="1" applyAlignment="1">
      <alignment horizontal="right" vertical="top"/>
    </xf>
    <xf numFmtId="41" fontId="27" fillId="7" borderId="1" xfId="0" applyNumberFormat="1" applyFont="1" applyFill="1" applyBorder="1" applyAlignment="1">
      <alignment horizontal="center" vertical="center"/>
    </xf>
    <xf numFmtId="0" fontId="11" fillId="5" borderId="1" xfId="0" applyFont="1" applyFill="1" applyBorder="1" applyAlignment="1">
      <alignment horizontal="right"/>
    </xf>
    <xf numFmtId="0" fontId="12" fillId="5" borderId="5" xfId="0" applyFont="1" applyFill="1" applyBorder="1" applyAlignment="1">
      <alignment horizontal="center"/>
    </xf>
    <xf numFmtId="0" fontId="13" fillId="3" borderId="18" xfId="0" applyFont="1" applyFill="1" applyBorder="1" applyAlignment="1">
      <alignment horizontal="center" vertical="center"/>
    </xf>
    <xf numFmtId="0" fontId="14" fillId="3" borderId="20" xfId="0" applyFont="1" applyFill="1" applyBorder="1" applyAlignment="1">
      <alignment horizontal="center" vertical="top" wrapText="1"/>
    </xf>
    <xf numFmtId="0" fontId="19" fillId="0" borderId="0" xfId="0" applyFont="1" applyAlignment="1">
      <alignment horizontal="left" vertical="top"/>
    </xf>
    <xf numFmtId="0" fontId="23" fillId="0" borderId="0" xfId="0" applyFont="1" applyAlignment="1">
      <alignment horizontal="left" wrapText="1"/>
    </xf>
    <xf numFmtId="49" fontId="21" fillId="6" borderId="1" xfId="0" applyNumberFormat="1" applyFont="1" applyFill="1" applyBorder="1" applyAlignment="1">
      <alignment horizontal="left" vertical="top"/>
    </xf>
    <xf numFmtId="0" fontId="19" fillId="0" borderId="0" xfId="0" applyFont="1" applyAlignment="1">
      <alignment horizontal="center" vertical="center"/>
    </xf>
    <xf numFmtId="49" fontId="21" fillId="0" borderId="1" xfId="0" applyNumberFormat="1" applyFont="1" applyBorder="1" applyAlignment="1">
      <alignment horizontal="left" vertical="top"/>
    </xf>
    <xf numFmtId="0" fontId="11" fillId="5" borderId="1" xfId="0" applyFont="1" applyFill="1" applyBorder="1" applyAlignment="1">
      <alignment horizontal="center" vertical="center"/>
    </xf>
    <xf numFmtId="0" fontId="13" fillId="3" borderId="20" xfId="0" applyFont="1" applyFill="1" applyBorder="1" applyAlignment="1">
      <alignment horizontal="center" vertical="center"/>
    </xf>
    <xf numFmtId="0" fontId="30" fillId="2" borderId="6" xfId="0" applyFont="1" applyFill="1" applyBorder="1" applyAlignment="1">
      <alignment horizontal="center" vertical="center"/>
    </xf>
    <xf numFmtId="0" fontId="3" fillId="0" borderId="7" xfId="0" applyFont="1" applyBorder="1"/>
    <xf numFmtId="0" fontId="3" fillId="0" borderId="8" xfId="0" applyFont="1" applyBorder="1"/>
    <xf numFmtId="0" fontId="15" fillId="3" borderId="18" xfId="0" applyFont="1" applyFill="1" applyBorder="1" applyAlignment="1">
      <alignment horizontal="center"/>
    </xf>
    <xf numFmtId="0" fontId="2" fillId="4" borderId="18" xfId="0" applyFont="1" applyFill="1" applyBorder="1" applyAlignment="1">
      <alignment horizontal="left" vertical="center" wrapText="1"/>
    </xf>
    <xf numFmtId="42" fontId="23" fillId="7" borderId="1" xfId="0" applyNumberFormat="1" applyFont="1" applyFill="1" applyBorder="1" applyAlignment="1">
      <alignment horizontal="right"/>
    </xf>
    <xf numFmtId="0" fontId="2" fillId="4" borderId="18" xfId="0" applyFont="1" applyFill="1" applyBorder="1" applyAlignment="1">
      <alignment horizontal="left" vertical="center"/>
    </xf>
    <xf numFmtId="0" fontId="2" fillId="4" borderId="20" xfId="0" applyFont="1" applyFill="1" applyBorder="1" applyAlignment="1">
      <alignment horizontal="left" vertical="center"/>
    </xf>
    <xf numFmtId="0" fontId="2" fillId="9" borderId="1" xfId="0" applyFont="1" applyFill="1" applyBorder="1"/>
    <xf numFmtId="42" fontId="2" fillId="0" borderId="1" xfId="0" applyNumberFormat="1" applyFont="1" applyBorder="1" applyAlignment="1">
      <alignment horizontal="right"/>
    </xf>
    <xf numFmtId="42" fontId="2" fillId="9" borderId="1" xfId="0" applyNumberFormat="1" applyFont="1" applyFill="1" applyBorder="1" applyAlignment="1">
      <alignment horizontal="right"/>
    </xf>
    <xf numFmtId="42" fontId="2" fillId="6" borderId="1" xfId="0" applyNumberFormat="1" applyFont="1" applyFill="1" applyBorder="1" applyAlignment="1">
      <alignment horizontal="right"/>
    </xf>
    <xf numFmtId="42" fontId="2" fillId="6" borderId="1" xfId="0" applyNumberFormat="1" applyFont="1" applyFill="1" applyBorder="1" applyAlignment="1">
      <alignment horizontal="center"/>
    </xf>
    <xf numFmtId="42" fontId="2" fillId="9" borderId="1" xfId="0" applyNumberFormat="1" applyFont="1" applyFill="1" applyBorder="1" applyAlignment="1">
      <alignment horizontal="center"/>
    </xf>
    <xf numFmtId="0" fontId="2" fillId="9" borderId="1" xfId="0" applyFont="1" applyFill="1" applyBorder="1" applyAlignment="1">
      <alignment horizontal="left"/>
    </xf>
    <xf numFmtId="42" fontId="2" fillId="10" borderId="1" xfId="0" applyNumberFormat="1" applyFont="1" applyFill="1" applyBorder="1" applyAlignment="1">
      <alignment horizontal="right"/>
    </xf>
    <xf numFmtId="42" fontId="2" fillId="10" borderId="1" xfId="0" applyNumberFormat="1" applyFont="1" applyFill="1" applyBorder="1" applyAlignment="1">
      <alignment horizontal="center"/>
    </xf>
    <xf numFmtId="0" fontId="2" fillId="4" borderId="10" xfId="0" applyFont="1" applyFill="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15" fillId="8" borderId="1" xfId="0" applyFont="1" applyFill="1" applyBorder="1" applyAlignment="1">
      <alignment horizontal="left"/>
    </xf>
    <xf numFmtId="0" fontId="2" fillId="0" borderId="18" xfId="0" applyFont="1" applyBorder="1" applyAlignment="1">
      <alignment horizontal="center" vertical="center"/>
    </xf>
    <xf numFmtId="0" fontId="2" fillId="4" borderId="18" xfId="0" applyFont="1" applyFill="1" applyBorder="1" applyAlignment="1">
      <alignment wrapText="1"/>
    </xf>
    <xf numFmtId="0" fontId="2" fillId="4" borderId="10" xfId="0" applyFont="1" applyFill="1" applyBorder="1" applyAlignment="1">
      <alignment horizontal="left" wrapText="1"/>
    </xf>
    <xf numFmtId="0" fontId="2" fillId="4" borderId="1" xfId="0" applyFont="1" applyFill="1" applyBorder="1"/>
    <xf numFmtId="0" fontId="2" fillId="0" borderId="18" xfId="0" applyFont="1" applyBorder="1" applyAlignment="1">
      <alignment horizontal="center" vertical="center" wrapText="1"/>
    </xf>
    <xf numFmtId="49" fontId="2" fillId="0" borderId="18" xfId="0" applyNumberFormat="1"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center" wrapText="1"/>
    </xf>
    <xf numFmtId="49" fontId="2" fillId="0" borderId="0" xfId="0" applyNumberFormat="1" applyFont="1" applyAlignment="1">
      <alignment horizontal="left" vertical="top" wrapText="1"/>
    </xf>
    <xf numFmtId="0" fontId="32" fillId="0" borderId="9" xfId="0" applyFont="1" applyBorder="1" applyAlignment="1">
      <alignment horizontal="left"/>
    </xf>
    <xf numFmtId="0" fontId="3" fillId="0" borderId="9" xfId="0" applyFont="1" applyBorder="1"/>
    <xf numFmtId="0" fontId="2" fillId="0" borderId="0" xfId="0" applyFont="1" applyAlignment="1">
      <alignment horizontal="right" wrapText="1"/>
    </xf>
    <xf numFmtId="0" fontId="2" fillId="0" borderId="0" xfId="0" applyFont="1" applyAlignment="1">
      <alignment horizontal="left" wrapText="1"/>
    </xf>
    <xf numFmtId="0" fontId="27" fillId="0" borderId="0" xfId="0" applyFont="1" applyAlignment="1">
      <alignment horizontal="center"/>
    </xf>
    <xf numFmtId="0" fontId="56" fillId="5" borderId="1" xfId="3" applyFont="1" applyFill="1" applyBorder="1" applyAlignment="1">
      <alignment horizontal="right"/>
    </xf>
    <xf numFmtId="0" fontId="50" fillId="0" borderId="5" xfId="3" applyFont="1" applyBorder="1"/>
    <xf numFmtId="0" fontId="55" fillId="5" borderId="5" xfId="3" applyFont="1" applyFill="1" applyBorder="1" applyAlignment="1">
      <alignment horizontal="center"/>
    </xf>
    <xf numFmtId="0" fontId="50" fillId="0" borderId="2" xfId="3" applyFont="1" applyBorder="1"/>
    <xf numFmtId="0" fontId="51" fillId="0" borderId="16" xfId="3" applyFont="1" applyAlignment="1">
      <alignment horizontal="left" wrapText="1"/>
    </xf>
    <xf numFmtId="0" fontId="49" fillId="0" borderId="16" xfId="3"/>
    <xf numFmtId="0" fontId="51" fillId="0" borderId="16" xfId="3" applyFont="1" applyAlignment="1">
      <alignment horizontal="left" vertical="top" wrapText="1"/>
    </xf>
    <xf numFmtId="0" fontId="60" fillId="0" borderId="16" xfId="3" applyFont="1" applyAlignment="1">
      <alignment horizontal="center"/>
    </xf>
    <xf numFmtId="0" fontId="59" fillId="0" borderId="9" xfId="3" applyFont="1" applyBorder="1" applyAlignment="1">
      <alignment horizontal="left"/>
    </xf>
    <xf numFmtId="0" fontId="50" fillId="0" borderId="9" xfId="3" applyFont="1" applyBorder="1"/>
    <xf numFmtId="0" fontId="51" fillId="4" borderId="1" xfId="3" applyFont="1" applyFill="1" applyBorder="1"/>
    <xf numFmtId="0" fontId="51" fillId="6" borderId="1" xfId="3" applyFont="1" applyFill="1" applyBorder="1" applyAlignment="1">
      <alignment horizontal="left"/>
    </xf>
    <xf numFmtId="42" fontId="51" fillId="6" borderId="1" xfId="3" applyNumberFormat="1" applyFont="1" applyFill="1" applyBorder="1" applyAlignment="1">
      <alignment horizontal="right"/>
    </xf>
    <xf numFmtId="42" fontId="51" fillId="6" borderId="1" xfId="3" applyNumberFormat="1" applyFont="1" applyFill="1" applyBorder="1" applyAlignment="1">
      <alignment horizontal="center"/>
    </xf>
    <xf numFmtId="0" fontId="51" fillId="0" borderId="11" xfId="3" applyFont="1" applyBorder="1" applyAlignment="1">
      <alignment horizontal="center" vertical="center"/>
    </xf>
    <xf numFmtId="0" fontId="50" fillId="0" borderId="11" xfId="3" applyFont="1" applyBorder="1"/>
    <xf numFmtId="0" fontId="51" fillId="0" borderId="11" xfId="3" applyFont="1" applyBorder="1" applyAlignment="1">
      <alignment horizontal="center" vertical="center" wrapText="1"/>
    </xf>
    <xf numFmtId="0" fontId="50" fillId="0" borderId="12" xfId="3" applyFont="1" applyBorder="1"/>
    <xf numFmtId="0" fontId="51" fillId="0" borderId="16" xfId="3" applyFont="1" applyAlignment="1">
      <alignment horizontal="right" wrapText="1"/>
    </xf>
    <xf numFmtId="0" fontId="51" fillId="9" borderId="1" xfId="3" applyFont="1" applyFill="1" applyBorder="1" applyAlignment="1">
      <alignment horizontal="left"/>
    </xf>
    <xf numFmtId="42" fontId="51" fillId="0" borderId="1" xfId="3" applyNumberFormat="1" applyFont="1" applyBorder="1" applyAlignment="1">
      <alignment horizontal="right"/>
    </xf>
    <xf numFmtId="0" fontId="52" fillId="0" borderId="16" xfId="3" applyFont="1" applyAlignment="1">
      <alignment horizontal="left" vertical="top" wrapText="1"/>
    </xf>
    <xf numFmtId="0" fontId="52" fillId="0" borderId="16" xfId="3" applyFont="1" applyAlignment="1">
      <alignment horizontal="left" vertical="center" wrapText="1"/>
    </xf>
    <xf numFmtId="49" fontId="51" fillId="0" borderId="16" xfId="3" applyNumberFormat="1" applyFont="1" applyAlignment="1">
      <alignment horizontal="left" vertical="top" wrapText="1"/>
    </xf>
    <xf numFmtId="0" fontId="54" fillId="8" borderId="1" xfId="3" applyFont="1" applyFill="1" applyBorder="1" applyAlignment="1">
      <alignment horizontal="left"/>
    </xf>
    <xf numFmtId="0" fontId="51" fillId="4" borderId="18" xfId="3" applyFont="1" applyFill="1" applyBorder="1" applyAlignment="1">
      <alignment wrapText="1"/>
    </xf>
    <xf numFmtId="0" fontId="50" fillId="0" borderId="19" xfId="3" applyFont="1" applyBorder="1"/>
    <xf numFmtId="0" fontId="50" fillId="0" borderId="3" xfId="3" applyFont="1" applyBorder="1"/>
    <xf numFmtId="0" fontId="3" fillId="0" borderId="29" xfId="3" applyFont="1" applyBorder="1" applyAlignment="1" applyProtection="1">
      <alignment horizontal="center" vertical="center" wrapText="1"/>
      <protection locked="0"/>
    </xf>
    <xf numFmtId="0" fontId="3" fillId="0" borderId="28" xfId="3" applyFont="1" applyBorder="1" applyAlignment="1" applyProtection="1">
      <alignment horizontal="center" vertical="center" wrapText="1"/>
      <protection locked="0"/>
    </xf>
    <xf numFmtId="0" fontId="3" fillId="0" borderId="27" xfId="3" applyFont="1" applyBorder="1" applyAlignment="1" applyProtection="1">
      <alignment horizontal="center" vertical="center" wrapText="1"/>
      <protection locked="0"/>
    </xf>
    <xf numFmtId="0" fontId="3" fillId="0" borderId="24" xfId="3" applyFont="1" applyBorder="1" applyAlignment="1" applyProtection="1">
      <alignment horizontal="center" vertical="center" wrapText="1"/>
      <protection locked="0"/>
    </xf>
    <xf numFmtId="0" fontId="3" fillId="0" borderId="23" xfId="3" applyFont="1" applyBorder="1" applyAlignment="1" applyProtection="1">
      <alignment horizontal="center" vertical="center" wrapText="1"/>
      <protection locked="0"/>
    </xf>
    <xf numFmtId="0" fontId="3" fillId="0" borderId="22" xfId="3" applyFont="1" applyBorder="1" applyAlignment="1" applyProtection="1">
      <alignment horizontal="center" vertical="center" wrapText="1"/>
      <protection locked="0"/>
    </xf>
    <xf numFmtId="0" fontId="51" fillId="4" borderId="10" xfId="3" applyFont="1" applyFill="1" applyBorder="1" applyAlignment="1">
      <alignment horizontal="left" wrapText="1"/>
    </xf>
    <xf numFmtId="0" fontId="51" fillId="0" borderId="1" xfId="3" applyFont="1" applyBorder="1" applyAlignment="1">
      <alignment horizontal="left"/>
    </xf>
    <xf numFmtId="42" fontId="51" fillId="9" borderId="1" xfId="3" applyNumberFormat="1" applyFont="1" applyFill="1" applyBorder="1" applyAlignment="1">
      <alignment horizontal="right"/>
    </xf>
    <xf numFmtId="42" fontId="51" fillId="9" borderId="1" xfId="3" applyNumberFormat="1" applyFont="1" applyFill="1" applyBorder="1" applyAlignment="1">
      <alignment horizontal="center"/>
    </xf>
    <xf numFmtId="0" fontId="51" fillId="9" borderId="1" xfId="3" applyFont="1" applyFill="1" applyBorder="1"/>
    <xf numFmtId="42" fontId="51" fillId="10" borderId="1" xfId="3" applyNumberFormat="1" applyFont="1" applyFill="1" applyBorder="1" applyAlignment="1">
      <alignment horizontal="right"/>
    </xf>
    <xf numFmtId="42" fontId="51" fillId="10" borderId="1" xfId="3" applyNumberFormat="1" applyFont="1" applyFill="1" applyBorder="1" applyAlignment="1">
      <alignment horizontal="center"/>
    </xf>
    <xf numFmtId="49" fontId="3" fillId="0" borderId="29" xfId="3" applyNumberFormat="1" applyFont="1" applyBorder="1" applyAlignment="1" applyProtection="1">
      <alignment horizontal="left" vertical="top" wrapText="1"/>
      <protection locked="0"/>
    </xf>
    <xf numFmtId="49" fontId="3" fillId="0" borderId="28" xfId="3" applyNumberFormat="1" applyFont="1" applyBorder="1" applyAlignment="1" applyProtection="1">
      <alignment horizontal="left" vertical="top" wrapText="1"/>
      <protection locked="0"/>
    </xf>
    <xf numFmtId="49" fontId="3" fillId="0" borderId="27" xfId="3" applyNumberFormat="1" applyFont="1" applyBorder="1" applyAlignment="1" applyProtection="1">
      <alignment horizontal="left" vertical="top" wrapText="1"/>
      <protection locked="0"/>
    </xf>
    <xf numFmtId="49" fontId="3" fillId="0" borderId="26" xfId="3" applyNumberFormat="1" applyFont="1" applyBorder="1" applyAlignment="1" applyProtection="1">
      <alignment horizontal="left" vertical="top" wrapText="1"/>
      <protection locked="0"/>
    </xf>
    <xf numFmtId="49" fontId="3" fillId="0" borderId="16" xfId="3" applyNumberFormat="1" applyFont="1" applyAlignment="1" applyProtection="1">
      <alignment horizontal="left" vertical="top" wrapText="1"/>
      <protection locked="0"/>
    </xf>
    <xf numFmtId="49" fontId="3" fillId="0" borderId="25" xfId="3" applyNumberFormat="1" applyFont="1" applyBorder="1" applyAlignment="1" applyProtection="1">
      <alignment horizontal="left" vertical="top" wrapText="1"/>
      <protection locked="0"/>
    </xf>
    <xf numFmtId="49" fontId="3" fillId="0" borderId="24" xfId="3" applyNumberFormat="1" applyFont="1" applyBorder="1" applyAlignment="1" applyProtection="1">
      <alignment horizontal="left" vertical="top" wrapText="1"/>
      <protection locked="0"/>
    </xf>
    <xf numFmtId="49" fontId="3" fillId="0" borderId="23" xfId="3" applyNumberFormat="1" applyFont="1" applyBorder="1" applyAlignment="1" applyProtection="1">
      <alignment horizontal="left" vertical="top" wrapText="1"/>
      <protection locked="0"/>
    </xf>
    <xf numFmtId="49" fontId="3" fillId="0" borderId="22" xfId="3" applyNumberFormat="1" applyFont="1" applyBorder="1" applyAlignment="1" applyProtection="1">
      <alignment horizontal="left" vertical="top" wrapText="1"/>
      <protection locked="0"/>
    </xf>
    <xf numFmtId="0" fontId="51" fillId="4" borderId="10" xfId="3" applyFont="1" applyFill="1" applyBorder="1" applyAlignment="1">
      <alignment horizontal="left" vertical="center"/>
    </xf>
    <xf numFmtId="0" fontId="52" fillId="7" borderId="1" xfId="3" applyFont="1" applyFill="1" applyBorder="1" applyAlignment="1">
      <alignment horizontal="right"/>
    </xf>
    <xf numFmtId="42" fontId="52" fillId="7" borderId="1" xfId="3" applyNumberFormat="1" applyFont="1" applyFill="1" applyBorder="1" applyAlignment="1">
      <alignment horizontal="right"/>
    </xf>
    <xf numFmtId="0" fontId="51" fillId="4" borderId="18" xfId="3" applyFont="1" applyFill="1" applyBorder="1" applyAlignment="1">
      <alignment horizontal="left" vertical="center"/>
    </xf>
    <xf numFmtId="0" fontId="51" fillId="4" borderId="20" xfId="3" applyFont="1" applyFill="1" applyBorder="1" applyAlignment="1">
      <alignment horizontal="left" vertical="center"/>
    </xf>
    <xf numFmtId="0" fontId="50" fillId="0" borderId="16" xfId="3" applyFont="1"/>
    <xf numFmtId="0" fontId="50" fillId="0" borderId="4" xfId="3" applyFont="1" applyBorder="1"/>
    <xf numFmtId="0" fontId="3" fillId="0" borderId="29" xfId="3" applyFont="1" applyBorder="1" applyAlignment="1" applyProtection="1">
      <alignment horizontal="left" vertical="top" wrapText="1"/>
      <protection locked="0"/>
    </xf>
    <xf numFmtId="0" fontId="3" fillId="0" borderId="28" xfId="3" applyFont="1" applyBorder="1" applyAlignment="1" applyProtection="1">
      <alignment horizontal="left" vertical="top" wrapText="1"/>
      <protection locked="0"/>
    </xf>
    <xf numFmtId="0" fontId="3" fillId="0" borderId="27" xfId="3" applyFont="1" applyBorder="1" applyAlignment="1" applyProtection="1">
      <alignment horizontal="left" vertical="top" wrapText="1"/>
      <protection locked="0"/>
    </xf>
    <xf numFmtId="0" fontId="3" fillId="0" borderId="26" xfId="3" applyFont="1" applyBorder="1" applyAlignment="1" applyProtection="1">
      <alignment horizontal="left" vertical="top" wrapText="1"/>
      <protection locked="0"/>
    </xf>
    <xf numFmtId="0" fontId="3" fillId="0" borderId="16" xfId="3" applyFont="1" applyAlignment="1" applyProtection="1">
      <alignment horizontal="left" vertical="top" wrapText="1"/>
      <protection locked="0"/>
    </xf>
    <xf numFmtId="0" fontId="3" fillId="0" borderId="25" xfId="3" applyFont="1" applyBorder="1" applyAlignment="1" applyProtection="1">
      <alignment horizontal="left" vertical="top" wrapText="1"/>
      <protection locked="0"/>
    </xf>
    <xf numFmtId="0" fontId="3" fillId="0" borderId="24" xfId="3" applyFont="1" applyBorder="1" applyAlignment="1" applyProtection="1">
      <alignment horizontal="left" vertical="top" wrapText="1"/>
      <protection locked="0"/>
    </xf>
    <xf numFmtId="0" fontId="3" fillId="0" borderId="23" xfId="3" applyFont="1" applyBorder="1" applyAlignment="1" applyProtection="1">
      <alignment horizontal="left" vertical="top" wrapText="1"/>
      <protection locked="0"/>
    </xf>
    <xf numFmtId="0" fontId="3" fillId="0" borderId="22" xfId="3" applyFont="1" applyBorder="1" applyAlignment="1" applyProtection="1">
      <alignment horizontal="left" vertical="top" wrapText="1"/>
      <protection locked="0"/>
    </xf>
    <xf numFmtId="0" fontId="51" fillId="0" borderId="18" xfId="3" applyFont="1" applyBorder="1" applyAlignment="1">
      <alignment horizontal="center" vertical="center" wrapText="1"/>
    </xf>
    <xf numFmtId="0" fontId="50" fillId="0" borderId="10" xfId="3" applyFont="1" applyBorder="1"/>
    <xf numFmtId="0" fontId="51" fillId="0" borderId="18" xfId="3" applyFont="1" applyBorder="1" applyAlignment="1">
      <alignment horizontal="center" vertical="center"/>
    </xf>
    <xf numFmtId="0" fontId="51" fillId="0" borderId="18" xfId="3" applyFont="1" applyBorder="1" applyAlignment="1">
      <alignment horizontal="left" vertical="top" wrapText="1"/>
    </xf>
    <xf numFmtId="0" fontId="50" fillId="0" borderId="20" xfId="3" applyFont="1" applyBorder="1"/>
    <xf numFmtId="0" fontId="19" fillId="0" borderId="0" xfId="0" applyFont="1" applyAlignment="1">
      <alignment horizontal="center"/>
    </xf>
    <xf numFmtId="0" fontId="36" fillId="0" borderId="0" xfId="0" applyFont="1" applyAlignment="1">
      <alignment horizontal="center"/>
    </xf>
    <xf numFmtId="0" fontId="14" fillId="8" borderId="20"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34" fillId="4" borderId="13" xfId="0" applyFont="1" applyFill="1" applyBorder="1" applyAlignment="1">
      <alignment horizontal="center" vertical="center"/>
    </xf>
    <xf numFmtId="0" fontId="3" fillId="0" borderId="14" xfId="0" applyFont="1" applyBorder="1"/>
    <xf numFmtId="0" fontId="3" fillId="0" borderId="15" xfId="0" applyFont="1" applyBorder="1"/>
    <xf numFmtId="0" fontId="12" fillId="5" borderId="5" xfId="0" applyFont="1" applyFill="1" applyBorder="1" applyAlignment="1">
      <alignment horizontal="left"/>
    </xf>
    <xf numFmtId="0" fontId="2" fillId="0" borderId="0" xfId="0" applyFont="1" applyAlignment="1">
      <alignment horizontal="center"/>
    </xf>
    <xf numFmtId="0" fontId="2" fillId="12" borderId="1" xfId="0" applyFont="1" applyFill="1" applyBorder="1" applyAlignment="1">
      <alignment horizontal="left"/>
    </xf>
    <xf numFmtId="0" fontId="11" fillId="5" borderId="1" xfId="0" applyFont="1" applyFill="1" applyBorder="1" applyAlignment="1">
      <alignment horizontal="center"/>
    </xf>
    <xf numFmtId="0" fontId="23" fillId="0" borderId="0" xfId="0" applyFont="1" applyAlignment="1">
      <alignment horizontal="center" vertical="top" wrapText="1"/>
    </xf>
    <xf numFmtId="0" fontId="23" fillId="0" borderId="10" xfId="0" applyFont="1" applyBorder="1" applyAlignment="1">
      <alignment horizontal="center"/>
    </xf>
    <xf numFmtId="0" fontId="2" fillId="0" borderId="18" xfId="0" applyFont="1" applyBorder="1" applyAlignment="1">
      <alignment horizontal="left"/>
    </xf>
    <xf numFmtId="0" fontId="2" fillId="0" borderId="20" xfId="0" applyFont="1" applyBorder="1" applyAlignment="1">
      <alignment horizontal="left"/>
    </xf>
    <xf numFmtId="0" fontId="2" fillId="0" borderId="10" xfId="0" applyFont="1" applyBorder="1" applyAlignment="1">
      <alignment horizontal="left"/>
    </xf>
    <xf numFmtId="0" fontId="2" fillId="12" borderId="20" xfId="0" applyFont="1" applyFill="1" applyBorder="1" applyAlignment="1">
      <alignment horizontal="left"/>
    </xf>
    <xf numFmtId="0" fontId="2" fillId="12" borderId="10" xfId="0" applyFont="1" applyFill="1" applyBorder="1" applyAlignment="1">
      <alignment horizontal="left"/>
    </xf>
    <xf numFmtId="0" fontId="2" fillId="12" borderId="18" xfId="0" applyFont="1" applyFill="1" applyBorder="1" applyAlignment="1">
      <alignment horizontal="left"/>
    </xf>
    <xf numFmtId="0" fontId="11" fillId="5" borderId="18" xfId="0" applyFont="1" applyFill="1" applyBorder="1" applyAlignment="1">
      <alignment horizontal="center"/>
    </xf>
    <xf numFmtId="0" fontId="2" fillId="12" borderId="18" xfId="0" applyFont="1" applyFill="1" applyBorder="1" applyAlignment="1">
      <alignment horizontal="left" vertical="top" wrapText="1"/>
    </xf>
    <xf numFmtId="0" fontId="23" fillId="0" borderId="0" xfId="0" applyFont="1" applyAlignment="1">
      <alignment horizontal="left"/>
    </xf>
  </cellXfs>
  <cellStyles count="4">
    <cellStyle name="Hyperlink" xfId="2" builtinId="8"/>
    <cellStyle name="Normal" xfId="0" builtinId="0"/>
    <cellStyle name="Normal 2" xfId="1" xr:uid="{2504844B-526A-4EDF-B943-1C58FB58DB68}"/>
    <cellStyle name="Normal 3" xfId="3" xr:uid="{0036C038-6AE0-456F-BF51-BB697FD39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C64B7E1F-A403-4CA4-81B4-5885DB882595}"/>
            </a:ext>
          </a:extLst>
        </xdr:cNvPr>
        <xdr:cNvSpPr txBox="1"/>
      </xdr:nvSpPr>
      <xdr:spPr>
        <a:xfrm>
          <a:off x="5838825" y="36353750"/>
          <a:ext cx="1524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2012C6AF-888D-408A-AEEB-A7B4695403B9}"/>
            </a:ext>
          </a:extLst>
        </xdr:cNvPr>
        <xdr:cNvSpPr txBox="1"/>
      </xdr:nvSpPr>
      <xdr:spPr>
        <a:xfrm>
          <a:off x="0" y="36353750"/>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AC1E2551-EEF0-49CD-949F-45BD7520B985}"/>
            </a:ext>
          </a:extLst>
        </xdr:cNvPr>
        <xdr:cNvSpPr txBox="1"/>
      </xdr:nvSpPr>
      <xdr:spPr>
        <a:xfrm>
          <a:off x="5838825" y="36353750"/>
          <a:ext cx="1524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5" name="Shape 6">
          <a:extLst>
            <a:ext uri="{FF2B5EF4-FFF2-40B4-BE49-F238E27FC236}">
              <a16:creationId xmlns:a16="http://schemas.microsoft.com/office/drawing/2014/main" id="{7D09253E-16B0-4D0B-A24B-47EC4F2AB4B9}"/>
            </a:ext>
          </a:extLst>
        </xdr:cNvPr>
        <xdr:cNvSpPr txBox="1"/>
      </xdr:nvSpPr>
      <xdr:spPr>
        <a:xfrm>
          <a:off x="0" y="36353750"/>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6" name="Shape 7">
          <a:extLst>
            <a:ext uri="{FF2B5EF4-FFF2-40B4-BE49-F238E27FC236}">
              <a16:creationId xmlns:a16="http://schemas.microsoft.com/office/drawing/2014/main" id="{5AA7E507-85DE-4F8F-B946-FC91E632744A}"/>
            </a:ext>
          </a:extLst>
        </xdr:cNvPr>
        <xdr:cNvSpPr txBox="1"/>
      </xdr:nvSpPr>
      <xdr:spPr>
        <a:xfrm>
          <a:off x="5838825" y="36353750"/>
          <a:ext cx="1524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7" name="Shape 6">
          <a:extLst>
            <a:ext uri="{FF2B5EF4-FFF2-40B4-BE49-F238E27FC236}">
              <a16:creationId xmlns:a16="http://schemas.microsoft.com/office/drawing/2014/main" id="{6AA02BA5-8657-44C7-8AE7-479D7A5BA21A}"/>
            </a:ext>
          </a:extLst>
        </xdr:cNvPr>
        <xdr:cNvSpPr txBox="1"/>
      </xdr:nvSpPr>
      <xdr:spPr>
        <a:xfrm>
          <a:off x="1114425" y="36353750"/>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6FFF0D5F-5510-4F2A-BE1B-84711987BCF7}"/>
            </a:ext>
          </a:extLst>
        </xdr:cNvPr>
        <xdr:cNvSpPr txBox="1"/>
      </xdr:nvSpPr>
      <xdr:spPr>
        <a:xfrm>
          <a:off x="5838825" y="28098750"/>
          <a:ext cx="152400"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823A9F3C-79B8-481B-8FFA-7D9C8F78802D}"/>
            </a:ext>
          </a:extLst>
        </xdr:cNvPr>
        <xdr:cNvSpPr txBox="1"/>
      </xdr:nvSpPr>
      <xdr:spPr>
        <a:xfrm>
          <a:off x="0" y="28098750"/>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7042A6A6-9C6A-4083-B7A9-0F93EDE85E17}"/>
            </a:ext>
          </a:extLst>
        </xdr:cNvPr>
        <xdr:cNvSpPr txBox="1"/>
      </xdr:nvSpPr>
      <xdr:spPr>
        <a:xfrm>
          <a:off x="5838825" y="27940000"/>
          <a:ext cx="1524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4E3DDEEB-AE69-4951-B374-BE27B2F64548}"/>
            </a:ext>
          </a:extLst>
        </xdr:cNvPr>
        <xdr:cNvSpPr txBox="1"/>
      </xdr:nvSpPr>
      <xdr:spPr>
        <a:xfrm>
          <a:off x="0" y="27940000"/>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A6329224-9BD8-431C-B9A9-B7B725697115}"/>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92BAE6CE-0354-44DA-8455-6B514194BA29}"/>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C1875636-2EF7-4359-B1AE-E9152BA9DFDA}"/>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2F1EE272-1F89-424B-8064-15906476AAFD}"/>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F0135ADB-DE09-41D5-A583-DA1A0F26C60E}"/>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7B20C1D-17CB-4AC1-B029-BFF92522CBB1}"/>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228ABB95-D391-4DAD-84C3-B6C36C47822C}"/>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CA881435-D41D-4394-B0F9-2CD85937C94F}"/>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F3470EEB-2241-4A90-B9CB-6A51A34DD211}"/>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82915E24-B192-41D6-9AC8-5B26F70A4164}"/>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2EE18692-FD28-4CC8-8447-6993257AD558}"/>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F030EDC1-624D-4C4C-80B6-22C88AA4F12B}"/>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64EE2756-1739-4A17-AF92-736B05CE1425}"/>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C5DC4CAF-78E3-4627-B3AC-03526D25A19E}"/>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69C94B2D-9E27-4962-B729-69378DA5A054}"/>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CA9BA7D4-9DCE-48C3-84EB-F745F6D7D17F}"/>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F2395D86-BB6E-4C17-A5B1-872AD4B7CC45}"/>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DD80F522-B5D7-459E-8990-19914FC3FC1C}"/>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CE72532A-A0DF-4D4A-8209-CE518FA0D7EF}"/>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B98CBFE3-5098-49B0-8547-603A83E4EBE8}"/>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3D24CFAB-B29C-4C07-A36A-C974B2D16537}"/>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D23052AB-F264-49B4-A3CD-6BE19E312FD2}"/>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DA1EFED-DE45-4F6B-90A1-FCD0E9B812EB}"/>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AE35B214-896C-4B96-B554-B30F11F1B840}"/>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9B05BA1E-014A-4605-9354-2B146B9627E0}"/>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75455021-45B5-41E8-A4ED-408D96D3B07C}"/>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7CCC752B-26FD-4A43-A194-E00407A8A3B5}"/>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29C93B59-4164-44EB-A576-24857CB9677A}"/>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84B22FD6-6BF5-4107-BE9C-6DA5D53A41C6}"/>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402BDDA-7F97-4C67-91B8-4926E75FE1CD}"/>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71B349C3-E0A7-4715-9FBA-A5CF579310DC}"/>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BDE69CDF-9D30-48FA-A681-48F53567CF84}"/>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3A118BD4-72BE-4F95-A869-A52D6EBF4209}"/>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500A018E-185C-450B-A023-D29C2F0AD3B1}"/>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D6F3630-CCD8-46FA-966F-A45662D040EF}"/>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839CC59A-E5CA-4C36-954E-BD03A9E38BDE}"/>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7F109AD6-25A4-4088-A45D-CB1F3474514E}"/>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489604BB-CB2C-4CD5-BE35-D8EF276263FC}"/>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9291C928-BCDC-42DB-A594-83B691B5B6E9}"/>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E933A95E-2325-4F0E-9C11-3FBBE48AD4EA}"/>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52123AEF-FCDC-418C-A081-E2DC94A7FB76}"/>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526B0190-CDBB-43CA-BCA8-4833816FB524}"/>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A3FFC9AF-ECD4-4E53-AD5A-D61D1A37F0DB}"/>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C303634-CBBC-494F-B401-3A0246B10A0A}"/>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1D948104-FB65-4417-83C6-603D71B61773}"/>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BE544CE5-53BE-4CD7-B71E-0C6B1D5ADB94}"/>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719F1B1-904B-4081-B56A-DA04938DAFDF}"/>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7AA9028E-FDC3-4742-8C08-70B5A939EE81}"/>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8A59A85A-CCE9-4123-91ED-FDAB2415982C}"/>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A187B6E7-B1A1-4CA2-A853-30BE5064D79E}"/>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3C13718F-5C8D-44FA-82A7-109C3F323678}"/>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A234807F-14AA-4D17-AF1E-99ED536D9DE9}"/>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75B267EF-D3BF-4C44-892B-411B24F3ED52}"/>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D397B8BE-8ED2-4897-81C4-59AF4FF2347B}"/>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6288CD73-79D6-4A44-81F9-7E162DE4826F}"/>
            </a:ext>
          </a:extLst>
        </xdr:cNvPr>
        <xdr:cNvSpPr txBox="1"/>
      </xdr:nvSpPr>
      <xdr:spPr>
        <a:xfrm>
          <a:off x="5838825" y="363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5BEF828B-FCDE-49AA-8BC8-E1345297B6D1}"/>
            </a:ext>
          </a:extLst>
        </xdr:cNvPr>
        <xdr:cNvSpPr txBox="1"/>
      </xdr:nvSpPr>
      <xdr:spPr>
        <a:xfrm>
          <a:off x="5838825" y="3651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E64AC6D-DF3C-4F41-8E11-AEB99564D529}"/>
            </a:ext>
          </a:extLst>
        </xdr:cNvPr>
        <xdr:cNvSpPr txBox="1"/>
      </xdr:nvSpPr>
      <xdr:spPr>
        <a:xfrm>
          <a:off x="0" y="365125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23027864-11E1-43F2-84F0-BBC0E46CD1BC}"/>
            </a:ext>
          </a:extLst>
        </xdr:cNvPr>
        <xdr:cNvSpPr txBox="1"/>
      </xdr:nvSpPr>
      <xdr:spPr>
        <a:xfrm>
          <a:off x="5838825" y="3635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F3E255F2-38C9-4AC6-8C64-A53FFBED1B1F}"/>
            </a:ext>
          </a:extLst>
        </xdr:cNvPr>
        <xdr:cNvSpPr txBox="1"/>
      </xdr:nvSpPr>
      <xdr:spPr>
        <a:xfrm>
          <a:off x="0" y="363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F05145B8-9928-469C-85DA-94FF1E464F30}"/>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33207737-4560-4644-B3DA-30271766DF6A}"/>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E5B5A5C0-16E6-4FBC-89C4-AE6195C15470}"/>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439A7558-16C7-4BEB-B9BD-F1D06B4F4E90}"/>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690D9EAD-1095-40A4-8CB6-ACD21FE4AB5C}"/>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23CAC1C7-0262-443C-9426-EE2B83EF6781}"/>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46F5C720-78CE-4DC1-885C-8CF39A2F10F8}"/>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662B5B77-E995-4234-9004-B0C4407A4340}"/>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51C836DB-6902-4A17-BF17-102BED1C64AC}"/>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B3800C0F-F845-4B73-8D09-2827D2BA4883}"/>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D2D5DDAC-C748-4C46-A353-5509179D283A}"/>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B6950B0A-9FCB-48FA-B8D0-EF28B9C6C47E}"/>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330A3A4D-CFF7-4D8A-B2CD-256929912899}"/>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DACE7E44-96C4-4827-BDBF-A3E5DD6FD390}"/>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4EB9C2F2-5122-4A95-ABFF-7FF615964A18}"/>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7A2FEFB0-B8A4-4914-A58B-8A8820C5F3FA}"/>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81FE39F-4CAB-4E45-B387-01E0F908325A}"/>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7CB09D09-121C-4925-8202-3F72EE5043DC}"/>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F8CBDA72-E011-493F-B8AB-31C4B49CD67C}"/>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5C0C33F6-C058-44C6-AE30-F3188DBBD965}"/>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D2F78C48-8B33-4DC6-BCE7-979EB5A3B69D}"/>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C288D4BD-3A91-4BB9-BE57-E0957E527BBF}"/>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2B7ED394-793D-44A2-B751-5B69E040EB38}"/>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B5F518C-0484-497A-A385-70E5C24C66A0}"/>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D5D53FEE-05CB-4163-9250-2B7015002247}"/>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631BDED9-54B7-4A2D-877E-F61A2470EA09}"/>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14B58DEE-A153-4DBE-855B-EE7EDFDCB28F}"/>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D9CD4C51-1244-4A94-A834-4FFA3A320FDF}"/>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64C3AE3E-4B8D-4418-AB87-52649DC13EE9}"/>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78ADD36A-8A97-4AA2-8806-8CD28C9E11B0}"/>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D6F5002E-157C-4E3E-BBFF-C8172A9CF11F}"/>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3FC7634-F9D0-4F7D-B252-83798B74DFB3}"/>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3C7CC90F-654C-471E-89AA-AAA0C6C96B86}"/>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CD69EF32-EE49-4391-99EE-61B2BCDC626D}"/>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A812A4BD-65C7-41C5-9659-A4289BFC1489}"/>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4158DDFF-4E49-431C-AEE1-C28D0B28704F}"/>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77CE0E5D-E728-4377-92B3-5EE47F7E91C0}"/>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58AFF617-BCB7-4526-AF46-6B7C6D1CCC0B}"/>
            </a:ext>
          </a:extLst>
        </xdr:cNvPr>
        <xdr:cNvSpPr txBox="1"/>
      </xdr:nvSpPr>
      <xdr:spPr>
        <a:xfrm>
          <a:off x="5838825" y="4540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513ED739-9BD8-45CD-9B63-B917D627E0C4}"/>
            </a:ext>
          </a:extLst>
        </xdr:cNvPr>
        <xdr:cNvSpPr txBox="1"/>
      </xdr:nvSpPr>
      <xdr:spPr>
        <a:xfrm>
          <a:off x="5838825" y="45402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5A73A581-4B9C-4D2C-91F7-F49AA994BA30}"/>
            </a:ext>
          </a:extLst>
        </xdr:cNvPr>
        <xdr:cNvSpPr txBox="1"/>
      </xdr:nvSpPr>
      <xdr:spPr>
        <a:xfrm>
          <a:off x="5838825" y="4572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B28002D4-EDC6-429C-85D2-E241A666341C}"/>
            </a:ext>
          </a:extLst>
        </xdr:cNvPr>
        <xdr:cNvSpPr txBox="1"/>
      </xdr:nvSpPr>
      <xdr:spPr>
        <a:xfrm>
          <a:off x="0" y="457200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9F8888E1-D4A1-42F5-8700-70DE14528A3E}"/>
            </a:ext>
          </a:extLst>
        </xdr:cNvPr>
        <xdr:cNvSpPr txBox="1"/>
      </xdr:nvSpPr>
      <xdr:spPr>
        <a:xfrm>
          <a:off x="5838825" y="4556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9F244DAA-54FA-4C28-B5AF-A2A34AC8493E}"/>
            </a:ext>
          </a:extLst>
        </xdr:cNvPr>
        <xdr:cNvSpPr txBox="1"/>
      </xdr:nvSpPr>
      <xdr:spPr>
        <a:xfrm>
          <a:off x="0" y="455612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E0A8FB8-E640-4B5E-BBAE-1F396CAB0D7C}"/>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AF613DA2-9895-4345-8C3F-005642E6F7AA}"/>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6A8D2C63-FDF4-4631-A360-D2C3F89F0ADE}"/>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617E8E81-4D0E-4123-98E8-EEC6652BE2D1}"/>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9A852D2C-C5CC-437F-A5BD-14045EE78AB0}"/>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4466ACF4-4DCB-4EE4-AFBA-DDF6FAC329E8}"/>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7CD80F49-DB43-4AEC-8CDA-5175268C6825}"/>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AD7BD2E6-F1E6-4AD2-9B24-970744BF6920}"/>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384F1DE2-FCAD-44F7-A062-D101DBD8E61A}"/>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9266B5C8-E3D1-40C4-8DE2-A1C4AD1388A8}"/>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645AF5A5-CD19-467D-B216-F241F37D60EB}"/>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CFB63E25-A943-4832-9CEE-3AC4CDC519A0}"/>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173B4BAA-D41B-4FAC-8AB7-D6CF0A1D19C3}"/>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A52D44C8-464F-4429-82B8-24E14F673ACF}"/>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595FADA4-A822-474B-84FC-BB6032682169}"/>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9DAC4430-2C00-4A77-AD08-BB3F773DA4F0}"/>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A7B193D7-4C46-4D6F-B34B-FA63CA8FF5FB}"/>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D1CAD3-68E5-4724-BE80-9BA69855E5DD}"/>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50AC4ABA-66CC-4F04-A99A-C04FDA944DD8}"/>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B4B312F5-6509-4452-AFA1-9B33FF179C8F}"/>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BD0D729-8A02-42E0-B6C9-3EE50EEBCCFD}"/>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31E0DB1A-83A8-4823-8F3F-7130FD7EF296}"/>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40264B9C-CD3B-4448-8DB8-9131D91EE3D1}"/>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CDFB9EC3-6D47-4F31-A76F-A03F132E8B6A}"/>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B1F34BF8-F520-4EB4-800A-5D3F5F156500}"/>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E9D5E849-2077-4D24-9FB1-A98715BB9F93}"/>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22902AFE-62CC-498D-A255-16CF1D8B94F2}"/>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26F079AD-0B1E-453F-BE30-93651A8E08FF}"/>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E36DB9B4-AC69-4F54-A413-CEB841C28AC1}"/>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B3B34CC1-963A-4E4B-AD27-6F3FB318BB85}"/>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82350A88-E4B0-4DBB-B3CD-B66CA68786FF}"/>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913C8569-D4B9-4C4F-B22A-3902733773BE}"/>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4CE4C650-4C79-4CC6-8FCC-805FEA1097EC}"/>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83F04375-AE6D-4344-8812-39EDBAF3CDF9}"/>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6A18F56A-C5F0-43FC-84C8-4D28409CC124}"/>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870748BD-9092-4D67-8555-477C482C1202}"/>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3EAFC017-E98A-42A7-AAF6-69BCA6829CFA}"/>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374C4CB0-2605-435E-AAFF-10ED2EC36565}"/>
            </a:ext>
          </a:extLst>
        </xdr:cNvPr>
        <xdr:cNvSpPr txBox="1"/>
      </xdr:nvSpPr>
      <xdr:spPr>
        <a:xfrm>
          <a:off x="5838825" y="5461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C341FD6D-7D83-43A8-85F3-FFB5EA4C521B}"/>
            </a:ext>
          </a:extLst>
        </xdr:cNvPr>
        <xdr:cNvSpPr txBox="1"/>
      </xdr:nvSpPr>
      <xdr:spPr>
        <a:xfrm>
          <a:off x="5838825" y="546100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53" name="Shape 5">
          <a:extLst>
            <a:ext uri="{FF2B5EF4-FFF2-40B4-BE49-F238E27FC236}">
              <a16:creationId xmlns:a16="http://schemas.microsoft.com/office/drawing/2014/main" id="{01BE2BB5-6899-4CEF-B2DD-7C4DF905A439}"/>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4" name="Shape 6">
          <a:extLst>
            <a:ext uri="{FF2B5EF4-FFF2-40B4-BE49-F238E27FC236}">
              <a16:creationId xmlns:a16="http://schemas.microsoft.com/office/drawing/2014/main" id="{0D9E2C50-08D2-498C-AC9E-8976D8E7E1D6}"/>
            </a:ext>
          </a:extLst>
        </xdr:cNvPr>
        <xdr:cNvSpPr txBox="1"/>
      </xdr:nvSpPr>
      <xdr:spPr>
        <a:xfrm>
          <a:off x="0" y="54768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456E14A5-61AB-4347-A03F-F4ACC373DF8D}"/>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17A5EB3C-1ECF-4E18-BB0C-ADFD0800D49F}"/>
            </a:ext>
          </a:extLst>
        </xdr:cNvPr>
        <xdr:cNvSpPr txBox="1"/>
      </xdr:nvSpPr>
      <xdr:spPr>
        <a:xfrm>
          <a:off x="0" y="54768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57" name="Shape 5">
          <a:extLst>
            <a:ext uri="{FF2B5EF4-FFF2-40B4-BE49-F238E27FC236}">
              <a16:creationId xmlns:a16="http://schemas.microsoft.com/office/drawing/2014/main" id="{AEDB8DDA-102A-44D6-BD2B-E95545E8D974}"/>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8" name="Shape 10">
          <a:extLst>
            <a:ext uri="{FF2B5EF4-FFF2-40B4-BE49-F238E27FC236}">
              <a16:creationId xmlns:a16="http://schemas.microsoft.com/office/drawing/2014/main" id="{36FDF0CD-DAD1-4598-9AA1-64B6339DE54A}"/>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59" name="Shape 5">
          <a:extLst>
            <a:ext uri="{FF2B5EF4-FFF2-40B4-BE49-F238E27FC236}">
              <a16:creationId xmlns:a16="http://schemas.microsoft.com/office/drawing/2014/main" id="{06BDDD3B-869F-492C-86C3-75816E71D79A}"/>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0" name="Shape 5">
          <a:extLst>
            <a:ext uri="{FF2B5EF4-FFF2-40B4-BE49-F238E27FC236}">
              <a16:creationId xmlns:a16="http://schemas.microsoft.com/office/drawing/2014/main" id="{E363163E-2377-45A6-A2D4-2DA2C11D9A64}"/>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1" name="Shape 5">
          <a:extLst>
            <a:ext uri="{FF2B5EF4-FFF2-40B4-BE49-F238E27FC236}">
              <a16:creationId xmlns:a16="http://schemas.microsoft.com/office/drawing/2014/main" id="{4B2A9537-4C31-4024-A3BF-08B551A717E6}"/>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2" name="Shape 5">
          <a:extLst>
            <a:ext uri="{FF2B5EF4-FFF2-40B4-BE49-F238E27FC236}">
              <a16:creationId xmlns:a16="http://schemas.microsoft.com/office/drawing/2014/main" id="{C8353412-0785-490E-8CC3-F0E65B185A7E}"/>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3" name="Shape 5">
          <a:extLst>
            <a:ext uri="{FF2B5EF4-FFF2-40B4-BE49-F238E27FC236}">
              <a16:creationId xmlns:a16="http://schemas.microsoft.com/office/drawing/2014/main" id="{C3BE938B-3D2B-4150-BE18-BE9CE61573A3}"/>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64" name="Shape 10">
          <a:extLst>
            <a:ext uri="{FF2B5EF4-FFF2-40B4-BE49-F238E27FC236}">
              <a16:creationId xmlns:a16="http://schemas.microsoft.com/office/drawing/2014/main" id="{330F62BB-1D00-4548-9343-2739DAFF629E}"/>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5" name="Shape 5">
          <a:extLst>
            <a:ext uri="{FF2B5EF4-FFF2-40B4-BE49-F238E27FC236}">
              <a16:creationId xmlns:a16="http://schemas.microsoft.com/office/drawing/2014/main" id="{022C8B2F-8718-4CE8-8E42-2501EC687A29}"/>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6" name="Shape 5">
          <a:extLst>
            <a:ext uri="{FF2B5EF4-FFF2-40B4-BE49-F238E27FC236}">
              <a16:creationId xmlns:a16="http://schemas.microsoft.com/office/drawing/2014/main" id="{D80BA65D-309A-4C2C-8282-8C5F70C0BD13}"/>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7" name="Shape 5">
          <a:extLst>
            <a:ext uri="{FF2B5EF4-FFF2-40B4-BE49-F238E27FC236}">
              <a16:creationId xmlns:a16="http://schemas.microsoft.com/office/drawing/2014/main" id="{9596EB4C-89A7-4413-854A-35EE0E03583F}"/>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8" name="Shape 5">
          <a:extLst>
            <a:ext uri="{FF2B5EF4-FFF2-40B4-BE49-F238E27FC236}">
              <a16:creationId xmlns:a16="http://schemas.microsoft.com/office/drawing/2014/main" id="{7E2AB224-55C9-4708-B52E-43961759740A}"/>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69" name="Shape 5">
          <a:extLst>
            <a:ext uri="{FF2B5EF4-FFF2-40B4-BE49-F238E27FC236}">
              <a16:creationId xmlns:a16="http://schemas.microsoft.com/office/drawing/2014/main" id="{7B4D3017-1D1A-46B0-8929-77B317BDDFB4}"/>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70" name="Shape 10">
          <a:extLst>
            <a:ext uri="{FF2B5EF4-FFF2-40B4-BE49-F238E27FC236}">
              <a16:creationId xmlns:a16="http://schemas.microsoft.com/office/drawing/2014/main" id="{2985BEC3-3CFE-4CA6-B7C8-B5F0CB10444D}"/>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1" name="Shape 5">
          <a:extLst>
            <a:ext uri="{FF2B5EF4-FFF2-40B4-BE49-F238E27FC236}">
              <a16:creationId xmlns:a16="http://schemas.microsoft.com/office/drawing/2014/main" id="{E1496798-01A6-4BF0-B154-E5977815EAE6}"/>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2" name="Shape 5">
          <a:extLst>
            <a:ext uri="{FF2B5EF4-FFF2-40B4-BE49-F238E27FC236}">
              <a16:creationId xmlns:a16="http://schemas.microsoft.com/office/drawing/2014/main" id="{B6BAE234-F6BF-4DAF-BD74-B8FF927C202F}"/>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3" name="Shape 5">
          <a:extLst>
            <a:ext uri="{FF2B5EF4-FFF2-40B4-BE49-F238E27FC236}">
              <a16:creationId xmlns:a16="http://schemas.microsoft.com/office/drawing/2014/main" id="{5F995F5B-C093-4D1A-81B7-14116A4240D6}"/>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4" name="Shape 5">
          <a:extLst>
            <a:ext uri="{FF2B5EF4-FFF2-40B4-BE49-F238E27FC236}">
              <a16:creationId xmlns:a16="http://schemas.microsoft.com/office/drawing/2014/main" id="{697CD0B7-E234-41EB-84AB-837C624EC89B}"/>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5" name="Shape 5">
          <a:extLst>
            <a:ext uri="{FF2B5EF4-FFF2-40B4-BE49-F238E27FC236}">
              <a16:creationId xmlns:a16="http://schemas.microsoft.com/office/drawing/2014/main" id="{407A66A4-42AF-4974-AA50-D5ACA9F026D5}"/>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76" name="Shape 10">
          <a:extLst>
            <a:ext uri="{FF2B5EF4-FFF2-40B4-BE49-F238E27FC236}">
              <a16:creationId xmlns:a16="http://schemas.microsoft.com/office/drawing/2014/main" id="{2A836417-F24F-4286-90ED-042C3331984D}"/>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7" name="Shape 5">
          <a:extLst>
            <a:ext uri="{FF2B5EF4-FFF2-40B4-BE49-F238E27FC236}">
              <a16:creationId xmlns:a16="http://schemas.microsoft.com/office/drawing/2014/main" id="{6C91F2F5-1774-4B6C-A077-B2194F6D8C30}"/>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8" name="Shape 5">
          <a:extLst>
            <a:ext uri="{FF2B5EF4-FFF2-40B4-BE49-F238E27FC236}">
              <a16:creationId xmlns:a16="http://schemas.microsoft.com/office/drawing/2014/main" id="{22F34A0B-51F7-45AC-8889-45EC5FEBFE57}"/>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79" name="Shape 5">
          <a:extLst>
            <a:ext uri="{FF2B5EF4-FFF2-40B4-BE49-F238E27FC236}">
              <a16:creationId xmlns:a16="http://schemas.microsoft.com/office/drawing/2014/main" id="{216069C0-A046-4096-BBFC-0818163DE80B}"/>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0" name="Shape 5">
          <a:extLst>
            <a:ext uri="{FF2B5EF4-FFF2-40B4-BE49-F238E27FC236}">
              <a16:creationId xmlns:a16="http://schemas.microsoft.com/office/drawing/2014/main" id="{DF3957D1-F37D-4DAA-B8BE-8B979C1CA106}"/>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1" name="Shape 5">
          <a:extLst>
            <a:ext uri="{FF2B5EF4-FFF2-40B4-BE49-F238E27FC236}">
              <a16:creationId xmlns:a16="http://schemas.microsoft.com/office/drawing/2014/main" id="{D361AA1E-14B2-49A2-B532-D95F85B3CD19}"/>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82" name="Shape 10">
          <a:extLst>
            <a:ext uri="{FF2B5EF4-FFF2-40B4-BE49-F238E27FC236}">
              <a16:creationId xmlns:a16="http://schemas.microsoft.com/office/drawing/2014/main" id="{6C049B2E-B6BA-4BA4-A646-E87F260F9FD7}"/>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3" name="Shape 5">
          <a:extLst>
            <a:ext uri="{FF2B5EF4-FFF2-40B4-BE49-F238E27FC236}">
              <a16:creationId xmlns:a16="http://schemas.microsoft.com/office/drawing/2014/main" id="{E3B09445-86A3-4F6A-8B99-03B6E4B6216B}"/>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4" name="Shape 5">
          <a:extLst>
            <a:ext uri="{FF2B5EF4-FFF2-40B4-BE49-F238E27FC236}">
              <a16:creationId xmlns:a16="http://schemas.microsoft.com/office/drawing/2014/main" id="{F27E3300-3367-4FCD-A0D1-79C6DC001C4F}"/>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5" name="Shape 5">
          <a:extLst>
            <a:ext uri="{FF2B5EF4-FFF2-40B4-BE49-F238E27FC236}">
              <a16:creationId xmlns:a16="http://schemas.microsoft.com/office/drawing/2014/main" id="{C7A3934E-7783-41FD-A93E-0757E7EB6B50}"/>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6" name="Shape 5">
          <a:extLst>
            <a:ext uri="{FF2B5EF4-FFF2-40B4-BE49-F238E27FC236}">
              <a16:creationId xmlns:a16="http://schemas.microsoft.com/office/drawing/2014/main" id="{DE39DA66-FD59-4385-BADE-9AC6747FB6CB}"/>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7" name="Shape 5">
          <a:extLst>
            <a:ext uri="{FF2B5EF4-FFF2-40B4-BE49-F238E27FC236}">
              <a16:creationId xmlns:a16="http://schemas.microsoft.com/office/drawing/2014/main" id="{928154AD-6F23-4A87-8D50-EBD4DF2F575D}"/>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88" name="Shape 10">
          <a:extLst>
            <a:ext uri="{FF2B5EF4-FFF2-40B4-BE49-F238E27FC236}">
              <a16:creationId xmlns:a16="http://schemas.microsoft.com/office/drawing/2014/main" id="{4687D17D-5E7E-4C62-8926-30D1184BB637}"/>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89" name="Shape 5">
          <a:extLst>
            <a:ext uri="{FF2B5EF4-FFF2-40B4-BE49-F238E27FC236}">
              <a16:creationId xmlns:a16="http://schemas.microsoft.com/office/drawing/2014/main" id="{E6DC7D1A-B756-4434-84D3-B23E59A38B23}"/>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90" name="Shape 5">
          <a:extLst>
            <a:ext uri="{FF2B5EF4-FFF2-40B4-BE49-F238E27FC236}">
              <a16:creationId xmlns:a16="http://schemas.microsoft.com/office/drawing/2014/main" id="{8630EFA0-FAB1-48D5-9839-729657A08AC0}"/>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91" name="Shape 5">
          <a:extLst>
            <a:ext uri="{FF2B5EF4-FFF2-40B4-BE49-F238E27FC236}">
              <a16:creationId xmlns:a16="http://schemas.microsoft.com/office/drawing/2014/main" id="{A31E3236-67B1-4DEA-AF38-92F3970337CC}"/>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92" name="Shape 5">
          <a:extLst>
            <a:ext uri="{FF2B5EF4-FFF2-40B4-BE49-F238E27FC236}">
              <a16:creationId xmlns:a16="http://schemas.microsoft.com/office/drawing/2014/main" id="{80D7BD14-8E57-4396-9758-D3154BDA0ABB}"/>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93" name="Shape 5">
          <a:extLst>
            <a:ext uri="{FF2B5EF4-FFF2-40B4-BE49-F238E27FC236}">
              <a16:creationId xmlns:a16="http://schemas.microsoft.com/office/drawing/2014/main" id="{3BEF0E87-3A6C-4822-8C87-2B66FF90B99C}"/>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94" name="Shape 10">
          <a:extLst>
            <a:ext uri="{FF2B5EF4-FFF2-40B4-BE49-F238E27FC236}">
              <a16:creationId xmlns:a16="http://schemas.microsoft.com/office/drawing/2014/main" id="{165C0C09-2416-4C50-BB2E-7380575C33A7}"/>
            </a:ext>
          </a:extLst>
        </xdr:cNvPr>
        <xdr:cNvSpPr txBox="1"/>
      </xdr:nvSpPr>
      <xdr:spPr>
        <a:xfrm>
          <a:off x="5838825" y="5476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9550"/>
    <xdr:sp macro="" textlink="">
      <xdr:nvSpPr>
        <xdr:cNvPr id="195" name="Shape 5">
          <a:extLst>
            <a:ext uri="{FF2B5EF4-FFF2-40B4-BE49-F238E27FC236}">
              <a16:creationId xmlns:a16="http://schemas.microsoft.com/office/drawing/2014/main" id="{AF129A3E-5B8C-4B99-B10C-1C07ED918A76}"/>
            </a:ext>
          </a:extLst>
        </xdr:cNvPr>
        <xdr:cNvSpPr txBox="1"/>
      </xdr:nvSpPr>
      <xdr:spPr>
        <a:xfrm>
          <a:off x="5838825" y="5476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347</xdr:row>
      <xdr:rowOff>0</xdr:rowOff>
    </xdr:from>
    <xdr:ext cx="85725" cy="209550"/>
    <xdr:sp macro="" textlink="">
      <xdr:nvSpPr>
        <xdr:cNvPr id="196" name="Shape 5">
          <a:extLst>
            <a:ext uri="{FF2B5EF4-FFF2-40B4-BE49-F238E27FC236}">
              <a16:creationId xmlns:a16="http://schemas.microsoft.com/office/drawing/2014/main" id="{938ADEBD-64E7-4B62-9550-86EF1F9AE7CC}"/>
            </a:ext>
          </a:extLst>
        </xdr:cNvPr>
        <xdr:cNvSpPr txBox="1"/>
      </xdr:nvSpPr>
      <xdr:spPr>
        <a:xfrm>
          <a:off x="5838825" y="5508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347</xdr:row>
      <xdr:rowOff>0</xdr:rowOff>
    </xdr:from>
    <xdr:ext cx="38100" cy="104775"/>
    <xdr:sp macro="" textlink="">
      <xdr:nvSpPr>
        <xdr:cNvPr id="197" name="Shape 6">
          <a:extLst>
            <a:ext uri="{FF2B5EF4-FFF2-40B4-BE49-F238E27FC236}">
              <a16:creationId xmlns:a16="http://schemas.microsoft.com/office/drawing/2014/main" id="{44F36CA6-A962-4815-93AA-697182BB0194}"/>
            </a:ext>
          </a:extLst>
        </xdr:cNvPr>
        <xdr:cNvSpPr txBox="1"/>
      </xdr:nvSpPr>
      <xdr:spPr>
        <a:xfrm>
          <a:off x="0" y="550862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0025"/>
    <xdr:sp macro="" textlink="">
      <xdr:nvSpPr>
        <xdr:cNvPr id="198" name="Shape 10">
          <a:extLst>
            <a:ext uri="{FF2B5EF4-FFF2-40B4-BE49-F238E27FC236}">
              <a16:creationId xmlns:a16="http://schemas.microsoft.com/office/drawing/2014/main" id="{26D87A75-E11D-42F7-86DF-A44D95AB5710}"/>
            </a:ext>
          </a:extLst>
        </xdr:cNvPr>
        <xdr:cNvSpPr txBox="1"/>
      </xdr:nvSpPr>
      <xdr:spPr>
        <a:xfrm>
          <a:off x="5838825" y="54927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99" name="Shape 6">
          <a:extLst>
            <a:ext uri="{FF2B5EF4-FFF2-40B4-BE49-F238E27FC236}">
              <a16:creationId xmlns:a16="http://schemas.microsoft.com/office/drawing/2014/main" id="{FB7516F8-73B9-45CB-BB5D-A3FC7634AA15}"/>
            </a:ext>
          </a:extLst>
        </xdr:cNvPr>
        <xdr:cNvSpPr txBox="1"/>
      </xdr:nvSpPr>
      <xdr:spPr>
        <a:xfrm>
          <a:off x="0" y="549275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0" name="Shape 5">
          <a:extLst>
            <a:ext uri="{FF2B5EF4-FFF2-40B4-BE49-F238E27FC236}">
              <a16:creationId xmlns:a16="http://schemas.microsoft.com/office/drawing/2014/main" id="{07931D24-CA11-4CE6-BAB4-DF014550FAE6}"/>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01" name="Shape 10">
          <a:extLst>
            <a:ext uri="{FF2B5EF4-FFF2-40B4-BE49-F238E27FC236}">
              <a16:creationId xmlns:a16="http://schemas.microsoft.com/office/drawing/2014/main" id="{2E0F243F-4D24-4554-860F-691341386C2B}"/>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2" name="Shape 5">
          <a:extLst>
            <a:ext uri="{FF2B5EF4-FFF2-40B4-BE49-F238E27FC236}">
              <a16:creationId xmlns:a16="http://schemas.microsoft.com/office/drawing/2014/main" id="{F7AC1550-3C6A-4316-82DF-9594A83DA01D}"/>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3" name="Shape 5">
          <a:extLst>
            <a:ext uri="{FF2B5EF4-FFF2-40B4-BE49-F238E27FC236}">
              <a16:creationId xmlns:a16="http://schemas.microsoft.com/office/drawing/2014/main" id="{14EABCB2-B710-41D9-B63A-FBAA43402E1C}"/>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4" name="Shape 5">
          <a:extLst>
            <a:ext uri="{FF2B5EF4-FFF2-40B4-BE49-F238E27FC236}">
              <a16:creationId xmlns:a16="http://schemas.microsoft.com/office/drawing/2014/main" id="{4347FFC8-6E95-4A56-9C6E-75EC98CC2413}"/>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5" name="Shape 5">
          <a:extLst>
            <a:ext uri="{FF2B5EF4-FFF2-40B4-BE49-F238E27FC236}">
              <a16:creationId xmlns:a16="http://schemas.microsoft.com/office/drawing/2014/main" id="{B746268E-2CAA-44F8-9A2F-55129B201D48}"/>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6" name="Shape 5">
          <a:extLst>
            <a:ext uri="{FF2B5EF4-FFF2-40B4-BE49-F238E27FC236}">
              <a16:creationId xmlns:a16="http://schemas.microsoft.com/office/drawing/2014/main" id="{2F704DC0-14F5-4D47-92F2-FE588F0A5B3C}"/>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07" name="Shape 10">
          <a:extLst>
            <a:ext uri="{FF2B5EF4-FFF2-40B4-BE49-F238E27FC236}">
              <a16:creationId xmlns:a16="http://schemas.microsoft.com/office/drawing/2014/main" id="{EBAA9360-1F71-4BEE-83BF-E10EA092CEE7}"/>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8" name="Shape 5">
          <a:extLst>
            <a:ext uri="{FF2B5EF4-FFF2-40B4-BE49-F238E27FC236}">
              <a16:creationId xmlns:a16="http://schemas.microsoft.com/office/drawing/2014/main" id="{F6F466D1-DBC7-431C-80B7-CB21A6A4B452}"/>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09" name="Shape 5">
          <a:extLst>
            <a:ext uri="{FF2B5EF4-FFF2-40B4-BE49-F238E27FC236}">
              <a16:creationId xmlns:a16="http://schemas.microsoft.com/office/drawing/2014/main" id="{74551BB9-6A01-4547-99C7-EC437E54D1E0}"/>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0" name="Shape 5">
          <a:extLst>
            <a:ext uri="{FF2B5EF4-FFF2-40B4-BE49-F238E27FC236}">
              <a16:creationId xmlns:a16="http://schemas.microsoft.com/office/drawing/2014/main" id="{66A74A4A-D7B9-4FCA-8BDF-16E052DE8008}"/>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1" name="Shape 5">
          <a:extLst>
            <a:ext uri="{FF2B5EF4-FFF2-40B4-BE49-F238E27FC236}">
              <a16:creationId xmlns:a16="http://schemas.microsoft.com/office/drawing/2014/main" id="{C5A54AF0-3A16-4D11-9A7C-DDD48001A73E}"/>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2" name="Shape 5">
          <a:extLst>
            <a:ext uri="{FF2B5EF4-FFF2-40B4-BE49-F238E27FC236}">
              <a16:creationId xmlns:a16="http://schemas.microsoft.com/office/drawing/2014/main" id="{A2C42FFC-E636-42B5-9D94-17115BDF65A5}"/>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13" name="Shape 10">
          <a:extLst>
            <a:ext uri="{FF2B5EF4-FFF2-40B4-BE49-F238E27FC236}">
              <a16:creationId xmlns:a16="http://schemas.microsoft.com/office/drawing/2014/main" id="{80844797-3C11-472B-8110-467AD0AB3B78}"/>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4" name="Shape 5">
          <a:extLst>
            <a:ext uri="{FF2B5EF4-FFF2-40B4-BE49-F238E27FC236}">
              <a16:creationId xmlns:a16="http://schemas.microsoft.com/office/drawing/2014/main" id="{9D570FA6-F11F-4698-BD9B-769F500BD170}"/>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5" name="Shape 5">
          <a:extLst>
            <a:ext uri="{FF2B5EF4-FFF2-40B4-BE49-F238E27FC236}">
              <a16:creationId xmlns:a16="http://schemas.microsoft.com/office/drawing/2014/main" id="{2FDFC67F-D7CA-4A17-9D32-FAE7069FBC6C}"/>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6" name="Shape 5">
          <a:extLst>
            <a:ext uri="{FF2B5EF4-FFF2-40B4-BE49-F238E27FC236}">
              <a16:creationId xmlns:a16="http://schemas.microsoft.com/office/drawing/2014/main" id="{827F8CA4-8791-439F-9C8D-F24B24D511A0}"/>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7" name="Shape 5">
          <a:extLst>
            <a:ext uri="{FF2B5EF4-FFF2-40B4-BE49-F238E27FC236}">
              <a16:creationId xmlns:a16="http://schemas.microsoft.com/office/drawing/2014/main" id="{E9461F55-752E-490F-80AA-5C63DD3A469F}"/>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18" name="Shape 5">
          <a:extLst>
            <a:ext uri="{FF2B5EF4-FFF2-40B4-BE49-F238E27FC236}">
              <a16:creationId xmlns:a16="http://schemas.microsoft.com/office/drawing/2014/main" id="{234A1B3E-D5F4-42C8-8F96-CD51DF782E8E}"/>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19" name="Shape 10">
          <a:extLst>
            <a:ext uri="{FF2B5EF4-FFF2-40B4-BE49-F238E27FC236}">
              <a16:creationId xmlns:a16="http://schemas.microsoft.com/office/drawing/2014/main" id="{BB05CB0B-B286-4B65-8198-3CEED0D7C44F}"/>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0" name="Shape 5">
          <a:extLst>
            <a:ext uri="{FF2B5EF4-FFF2-40B4-BE49-F238E27FC236}">
              <a16:creationId xmlns:a16="http://schemas.microsoft.com/office/drawing/2014/main" id="{AE4B6B16-2215-4BD5-B427-5584A6B77BAB}"/>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1" name="Shape 5">
          <a:extLst>
            <a:ext uri="{FF2B5EF4-FFF2-40B4-BE49-F238E27FC236}">
              <a16:creationId xmlns:a16="http://schemas.microsoft.com/office/drawing/2014/main" id="{E673915F-30BA-4D42-9D20-D43A9BBD9217}"/>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2" name="Shape 5">
          <a:extLst>
            <a:ext uri="{FF2B5EF4-FFF2-40B4-BE49-F238E27FC236}">
              <a16:creationId xmlns:a16="http://schemas.microsoft.com/office/drawing/2014/main" id="{5E660356-14A9-4C7B-A316-CC10BACD7C77}"/>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3" name="Shape 5">
          <a:extLst>
            <a:ext uri="{FF2B5EF4-FFF2-40B4-BE49-F238E27FC236}">
              <a16:creationId xmlns:a16="http://schemas.microsoft.com/office/drawing/2014/main" id="{A57D0EB6-C6F6-434E-B4C3-C5CB53CA0ED7}"/>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4" name="Shape 5">
          <a:extLst>
            <a:ext uri="{FF2B5EF4-FFF2-40B4-BE49-F238E27FC236}">
              <a16:creationId xmlns:a16="http://schemas.microsoft.com/office/drawing/2014/main" id="{55BCFAEC-322D-4A3B-BDE5-5DE536C389F8}"/>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25" name="Shape 10">
          <a:extLst>
            <a:ext uri="{FF2B5EF4-FFF2-40B4-BE49-F238E27FC236}">
              <a16:creationId xmlns:a16="http://schemas.microsoft.com/office/drawing/2014/main" id="{DEE047A4-7388-4EF3-B1A6-5A16D368944E}"/>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6" name="Shape 5">
          <a:extLst>
            <a:ext uri="{FF2B5EF4-FFF2-40B4-BE49-F238E27FC236}">
              <a16:creationId xmlns:a16="http://schemas.microsoft.com/office/drawing/2014/main" id="{49BD86F0-F14E-4D70-A752-6FFD7F0B90E0}"/>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7" name="Shape 5">
          <a:extLst>
            <a:ext uri="{FF2B5EF4-FFF2-40B4-BE49-F238E27FC236}">
              <a16:creationId xmlns:a16="http://schemas.microsoft.com/office/drawing/2014/main" id="{D9C392B9-B209-425D-8E6C-F68C194FD732}"/>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8" name="Shape 5">
          <a:extLst>
            <a:ext uri="{FF2B5EF4-FFF2-40B4-BE49-F238E27FC236}">
              <a16:creationId xmlns:a16="http://schemas.microsoft.com/office/drawing/2014/main" id="{6FAEFBF2-C6B6-4F7C-9848-87F73B537969}"/>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29" name="Shape 5">
          <a:extLst>
            <a:ext uri="{FF2B5EF4-FFF2-40B4-BE49-F238E27FC236}">
              <a16:creationId xmlns:a16="http://schemas.microsoft.com/office/drawing/2014/main" id="{EF9ABF1B-6EEE-4EC3-A46D-C04C1E51864C}"/>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0" name="Shape 5">
          <a:extLst>
            <a:ext uri="{FF2B5EF4-FFF2-40B4-BE49-F238E27FC236}">
              <a16:creationId xmlns:a16="http://schemas.microsoft.com/office/drawing/2014/main" id="{390CE63D-BE04-4F8A-911E-00CFB70BEE8F}"/>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31" name="Shape 10">
          <a:extLst>
            <a:ext uri="{FF2B5EF4-FFF2-40B4-BE49-F238E27FC236}">
              <a16:creationId xmlns:a16="http://schemas.microsoft.com/office/drawing/2014/main" id="{046FCC8A-CAEA-4307-A3A0-5EE6590ABD2F}"/>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2" name="Shape 5">
          <a:extLst>
            <a:ext uri="{FF2B5EF4-FFF2-40B4-BE49-F238E27FC236}">
              <a16:creationId xmlns:a16="http://schemas.microsoft.com/office/drawing/2014/main" id="{58F27DF8-B13A-4BF2-90E3-47D71A69B428}"/>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3" name="Shape 5">
          <a:extLst>
            <a:ext uri="{FF2B5EF4-FFF2-40B4-BE49-F238E27FC236}">
              <a16:creationId xmlns:a16="http://schemas.microsoft.com/office/drawing/2014/main" id="{27B56BC7-7FCB-46E1-829B-C562DFC50941}"/>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4" name="Shape 5">
          <a:extLst>
            <a:ext uri="{FF2B5EF4-FFF2-40B4-BE49-F238E27FC236}">
              <a16:creationId xmlns:a16="http://schemas.microsoft.com/office/drawing/2014/main" id="{42C3CAAC-6A97-45FA-931C-BB9577E0F012}"/>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5" name="Shape 5">
          <a:extLst>
            <a:ext uri="{FF2B5EF4-FFF2-40B4-BE49-F238E27FC236}">
              <a16:creationId xmlns:a16="http://schemas.microsoft.com/office/drawing/2014/main" id="{82DCE0E4-81C8-418B-8C7E-B65495B8405C}"/>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6" name="Shape 5">
          <a:extLst>
            <a:ext uri="{FF2B5EF4-FFF2-40B4-BE49-F238E27FC236}">
              <a16:creationId xmlns:a16="http://schemas.microsoft.com/office/drawing/2014/main" id="{1E5C4358-6132-432B-AA06-11764AC2C843}"/>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237" name="Shape 10">
          <a:extLst>
            <a:ext uri="{FF2B5EF4-FFF2-40B4-BE49-F238E27FC236}">
              <a16:creationId xmlns:a16="http://schemas.microsoft.com/office/drawing/2014/main" id="{EF0D779A-35E9-4A53-8FA2-2852DB904D81}"/>
            </a:ext>
          </a:extLst>
        </xdr:cNvPr>
        <xdr:cNvSpPr txBox="1"/>
      </xdr:nvSpPr>
      <xdr:spPr>
        <a:xfrm>
          <a:off x="5838825" y="6397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9550"/>
    <xdr:sp macro="" textlink="">
      <xdr:nvSpPr>
        <xdr:cNvPr id="238" name="Shape 5">
          <a:extLst>
            <a:ext uri="{FF2B5EF4-FFF2-40B4-BE49-F238E27FC236}">
              <a16:creationId xmlns:a16="http://schemas.microsoft.com/office/drawing/2014/main" id="{FB096FD6-282C-4132-A2D4-C341C8AFDA6A}"/>
            </a:ext>
          </a:extLst>
        </xdr:cNvPr>
        <xdr:cNvSpPr txBox="1"/>
      </xdr:nvSpPr>
      <xdr:spPr>
        <a:xfrm>
          <a:off x="5838825" y="6397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405</xdr:row>
      <xdr:rowOff>0</xdr:rowOff>
    </xdr:from>
    <xdr:ext cx="85725" cy="209550"/>
    <xdr:sp macro="" textlink="">
      <xdr:nvSpPr>
        <xdr:cNvPr id="239" name="Shape 5">
          <a:extLst>
            <a:ext uri="{FF2B5EF4-FFF2-40B4-BE49-F238E27FC236}">
              <a16:creationId xmlns:a16="http://schemas.microsoft.com/office/drawing/2014/main" id="{6492ED30-53FF-415B-87AB-3A03C11E7CBF}"/>
            </a:ext>
          </a:extLst>
        </xdr:cNvPr>
        <xdr:cNvSpPr txBox="1"/>
      </xdr:nvSpPr>
      <xdr:spPr>
        <a:xfrm>
          <a:off x="5838825" y="6429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405</xdr:row>
      <xdr:rowOff>0</xdr:rowOff>
    </xdr:from>
    <xdr:ext cx="38100" cy="104775"/>
    <xdr:sp macro="" textlink="">
      <xdr:nvSpPr>
        <xdr:cNvPr id="240" name="Shape 6">
          <a:extLst>
            <a:ext uri="{FF2B5EF4-FFF2-40B4-BE49-F238E27FC236}">
              <a16:creationId xmlns:a16="http://schemas.microsoft.com/office/drawing/2014/main" id="{2A756D76-5834-49A0-A631-CCDF2DCB314B}"/>
            </a:ext>
          </a:extLst>
        </xdr:cNvPr>
        <xdr:cNvSpPr txBox="1"/>
      </xdr:nvSpPr>
      <xdr:spPr>
        <a:xfrm>
          <a:off x="0" y="6429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0025"/>
    <xdr:sp macro="" textlink="">
      <xdr:nvSpPr>
        <xdr:cNvPr id="241" name="Shape 10">
          <a:extLst>
            <a:ext uri="{FF2B5EF4-FFF2-40B4-BE49-F238E27FC236}">
              <a16:creationId xmlns:a16="http://schemas.microsoft.com/office/drawing/2014/main" id="{4C0C2614-5312-4454-86DD-065C56019561}"/>
            </a:ext>
          </a:extLst>
        </xdr:cNvPr>
        <xdr:cNvSpPr txBox="1"/>
      </xdr:nvSpPr>
      <xdr:spPr>
        <a:xfrm>
          <a:off x="5838825" y="64135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242" name="Shape 6">
          <a:extLst>
            <a:ext uri="{FF2B5EF4-FFF2-40B4-BE49-F238E27FC236}">
              <a16:creationId xmlns:a16="http://schemas.microsoft.com/office/drawing/2014/main" id="{40D31D42-5AB0-4A4F-A06F-76E869D6594C}"/>
            </a:ext>
          </a:extLst>
        </xdr:cNvPr>
        <xdr:cNvSpPr txBox="1"/>
      </xdr:nvSpPr>
      <xdr:spPr>
        <a:xfrm>
          <a:off x="0" y="641350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43" name="Shape 5">
          <a:extLst>
            <a:ext uri="{FF2B5EF4-FFF2-40B4-BE49-F238E27FC236}">
              <a16:creationId xmlns:a16="http://schemas.microsoft.com/office/drawing/2014/main" id="{E15E635B-3C10-4046-9D5B-5DFE03F22284}"/>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4" name="Shape 10">
          <a:extLst>
            <a:ext uri="{FF2B5EF4-FFF2-40B4-BE49-F238E27FC236}">
              <a16:creationId xmlns:a16="http://schemas.microsoft.com/office/drawing/2014/main" id="{9665C7CE-38A9-4458-9F45-05CCF9E747C3}"/>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45" name="Shape 5">
          <a:extLst>
            <a:ext uri="{FF2B5EF4-FFF2-40B4-BE49-F238E27FC236}">
              <a16:creationId xmlns:a16="http://schemas.microsoft.com/office/drawing/2014/main" id="{16A56223-6E4F-47CF-9A2D-AC5173F0B538}"/>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46" name="Shape 5">
          <a:extLst>
            <a:ext uri="{FF2B5EF4-FFF2-40B4-BE49-F238E27FC236}">
              <a16:creationId xmlns:a16="http://schemas.microsoft.com/office/drawing/2014/main" id="{5E7B3ADF-20CC-4852-ADA0-569EECC5C19B}"/>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47" name="Shape 5">
          <a:extLst>
            <a:ext uri="{FF2B5EF4-FFF2-40B4-BE49-F238E27FC236}">
              <a16:creationId xmlns:a16="http://schemas.microsoft.com/office/drawing/2014/main" id="{A8589B41-B6E8-40FF-893C-34347F0E7790}"/>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48" name="Shape 5">
          <a:extLst>
            <a:ext uri="{FF2B5EF4-FFF2-40B4-BE49-F238E27FC236}">
              <a16:creationId xmlns:a16="http://schemas.microsoft.com/office/drawing/2014/main" id="{F06F4269-0058-4FD3-8354-D7C47E39EF1E}"/>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49" name="Shape 5">
          <a:extLst>
            <a:ext uri="{FF2B5EF4-FFF2-40B4-BE49-F238E27FC236}">
              <a16:creationId xmlns:a16="http://schemas.microsoft.com/office/drawing/2014/main" id="{83914649-E6DF-4478-9AB8-75F1B8897AB0}"/>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50" name="Shape 10">
          <a:extLst>
            <a:ext uri="{FF2B5EF4-FFF2-40B4-BE49-F238E27FC236}">
              <a16:creationId xmlns:a16="http://schemas.microsoft.com/office/drawing/2014/main" id="{93811A76-A98F-4BE0-9196-53FA9986BFF5}"/>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1" name="Shape 5">
          <a:extLst>
            <a:ext uri="{FF2B5EF4-FFF2-40B4-BE49-F238E27FC236}">
              <a16:creationId xmlns:a16="http://schemas.microsoft.com/office/drawing/2014/main" id="{5FA6BD47-EB0F-4951-B0CC-D36607585E9F}"/>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2" name="Shape 5">
          <a:extLst>
            <a:ext uri="{FF2B5EF4-FFF2-40B4-BE49-F238E27FC236}">
              <a16:creationId xmlns:a16="http://schemas.microsoft.com/office/drawing/2014/main" id="{904601E8-2934-4906-8FC9-9A34B49829A2}"/>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3" name="Shape 5">
          <a:extLst>
            <a:ext uri="{FF2B5EF4-FFF2-40B4-BE49-F238E27FC236}">
              <a16:creationId xmlns:a16="http://schemas.microsoft.com/office/drawing/2014/main" id="{A28A976F-579C-4CDE-B118-B18C098A5FC0}"/>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4" name="Shape 5">
          <a:extLst>
            <a:ext uri="{FF2B5EF4-FFF2-40B4-BE49-F238E27FC236}">
              <a16:creationId xmlns:a16="http://schemas.microsoft.com/office/drawing/2014/main" id="{35AAEE81-B151-49AD-8985-719F7E044FBB}"/>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5" name="Shape 5">
          <a:extLst>
            <a:ext uri="{FF2B5EF4-FFF2-40B4-BE49-F238E27FC236}">
              <a16:creationId xmlns:a16="http://schemas.microsoft.com/office/drawing/2014/main" id="{533F3796-C938-4C6D-AF8E-C0F7FA45F58F}"/>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56" name="Shape 10">
          <a:extLst>
            <a:ext uri="{FF2B5EF4-FFF2-40B4-BE49-F238E27FC236}">
              <a16:creationId xmlns:a16="http://schemas.microsoft.com/office/drawing/2014/main" id="{A9140392-F891-4CC9-B5D9-1465FB375F2B}"/>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7" name="Shape 5">
          <a:extLst>
            <a:ext uri="{FF2B5EF4-FFF2-40B4-BE49-F238E27FC236}">
              <a16:creationId xmlns:a16="http://schemas.microsoft.com/office/drawing/2014/main" id="{0E0BAD1F-500C-42D9-9B12-E3DB427BD31A}"/>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8" name="Shape 5">
          <a:extLst>
            <a:ext uri="{FF2B5EF4-FFF2-40B4-BE49-F238E27FC236}">
              <a16:creationId xmlns:a16="http://schemas.microsoft.com/office/drawing/2014/main" id="{AC02B92F-C953-475E-9B14-DC06141696DC}"/>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59" name="Shape 5">
          <a:extLst>
            <a:ext uri="{FF2B5EF4-FFF2-40B4-BE49-F238E27FC236}">
              <a16:creationId xmlns:a16="http://schemas.microsoft.com/office/drawing/2014/main" id="{DCC977E3-B2CE-4BCD-9035-14FF9A325897}"/>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0" name="Shape 5">
          <a:extLst>
            <a:ext uri="{FF2B5EF4-FFF2-40B4-BE49-F238E27FC236}">
              <a16:creationId xmlns:a16="http://schemas.microsoft.com/office/drawing/2014/main" id="{1E05798D-EA56-44EC-BB10-90E63746D84A}"/>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1" name="Shape 5">
          <a:extLst>
            <a:ext uri="{FF2B5EF4-FFF2-40B4-BE49-F238E27FC236}">
              <a16:creationId xmlns:a16="http://schemas.microsoft.com/office/drawing/2014/main" id="{C7CC0C87-9B6C-4115-BC0D-802FB895255D}"/>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62" name="Shape 10">
          <a:extLst>
            <a:ext uri="{FF2B5EF4-FFF2-40B4-BE49-F238E27FC236}">
              <a16:creationId xmlns:a16="http://schemas.microsoft.com/office/drawing/2014/main" id="{FCFD7DAA-3261-4033-9963-060EA26D080A}"/>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3" name="Shape 5">
          <a:extLst>
            <a:ext uri="{FF2B5EF4-FFF2-40B4-BE49-F238E27FC236}">
              <a16:creationId xmlns:a16="http://schemas.microsoft.com/office/drawing/2014/main" id="{5E7184AE-AFB1-42F0-9AE2-BBEEC51AF9F5}"/>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4" name="Shape 5">
          <a:extLst>
            <a:ext uri="{FF2B5EF4-FFF2-40B4-BE49-F238E27FC236}">
              <a16:creationId xmlns:a16="http://schemas.microsoft.com/office/drawing/2014/main" id="{9ADCEA47-F2EB-4C64-AEA4-09B21A501529}"/>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5" name="Shape 5">
          <a:extLst>
            <a:ext uri="{FF2B5EF4-FFF2-40B4-BE49-F238E27FC236}">
              <a16:creationId xmlns:a16="http://schemas.microsoft.com/office/drawing/2014/main" id="{0F84D981-DCA9-40BA-BB62-FDE60D278428}"/>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6" name="Shape 5">
          <a:extLst>
            <a:ext uri="{FF2B5EF4-FFF2-40B4-BE49-F238E27FC236}">
              <a16:creationId xmlns:a16="http://schemas.microsoft.com/office/drawing/2014/main" id="{01C13024-F4BE-4865-9BA4-5FB183DD9558}"/>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7" name="Shape 5">
          <a:extLst>
            <a:ext uri="{FF2B5EF4-FFF2-40B4-BE49-F238E27FC236}">
              <a16:creationId xmlns:a16="http://schemas.microsoft.com/office/drawing/2014/main" id="{87E7B314-48CE-4C08-B595-9BEA7DC80EE4}"/>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68" name="Shape 10">
          <a:extLst>
            <a:ext uri="{FF2B5EF4-FFF2-40B4-BE49-F238E27FC236}">
              <a16:creationId xmlns:a16="http://schemas.microsoft.com/office/drawing/2014/main" id="{C467A2A2-9375-45A1-8231-76544F01DB7F}"/>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69" name="Shape 5">
          <a:extLst>
            <a:ext uri="{FF2B5EF4-FFF2-40B4-BE49-F238E27FC236}">
              <a16:creationId xmlns:a16="http://schemas.microsoft.com/office/drawing/2014/main" id="{86F7EECF-3443-4FEF-B708-B1EBDC3E9DC3}"/>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0" name="Shape 5">
          <a:extLst>
            <a:ext uri="{FF2B5EF4-FFF2-40B4-BE49-F238E27FC236}">
              <a16:creationId xmlns:a16="http://schemas.microsoft.com/office/drawing/2014/main" id="{15488A59-BE00-468C-9D96-FC59FDDCF819}"/>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1" name="Shape 5">
          <a:extLst>
            <a:ext uri="{FF2B5EF4-FFF2-40B4-BE49-F238E27FC236}">
              <a16:creationId xmlns:a16="http://schemas.microsoft.com/office/drawing/2014/main" id="{73B133CE-2FCA-4BDE-BF45-1CB630D5DD98}"/>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2" name="Shape 5">
          <a:extLst>
            <a:ext uri="{FF2B5EF4-FFF2-40B4-BE49-F238E27FC236}">
              <a16:creationId xmlns:a16="http://schemas.microsoft.com/office/drawing/2014/main" id="{250746F4-B096-4E1A-BA69-B11CC5A4EBCA}"/>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3" name="Shape 5">
          <a:extLst>
            <a:ext uri="{FF2B5EF4-FFF2-40B4-BE49-F238E27FC236}">
              <a16:creationId xmlns:a16="http://schemas.microsoft.com/office/drawing/2014/main" id="{107D3D58-915B-4242-8B60-83A15689A9C9}"/>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74" name="Shape 10">
          <a:extLst>
            <a:ext uri="{FF2B5EF4-FFF2-40B4-BE49-F238E27FC236}">
              <a16:creationId xmlns:a16="http://schemas.microsoft.com/office/drawing/2014/main" id="{B5A1AA2D-2106-4623-8CEC-5FBC0F94FB57}"/>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5" name="Shape 5">
          <a:extLst>
            <a:ext uri="{FF2B5EF4-FFF2-40B4-BE49-F238E27FC236}">
              <a16:creationId xmlns:a16="http://schemas.microsoft.com/office/drawing/2014/main" id="{BDE67697-2DA6-4B3D-9409-A889CF8B18A1}"/>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6" name="Shape 5">
          <a:extLst>
            <a:ext uri="{FF2B5EF4-FFF2-40B4-BE49-F238E27FC236}">
              <a16:creationId xmlns:a16="http://schemas.microsoft.com/office/drawing/2014/main" id="{44ACFCA6-8D17-44BD-83B3-6D7704483513}"/>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7" name="Shape 5">
          <a:extLst>
            <a:ext uri="{FF2B5EF4-FFF2-40B4-BE49-F238E27FC236}">
              <a16:creationId xmlns:a16="http://schemas.microsoft.com/office/drawing/2014/main" id="{541401C2-D7E1-4E67-8292-DE2884D57D31}"/>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8" name="Shape 5">
          <a:extLst>
            <a:ext uri="{FF2B5EF4-FFF2-40B4-BE49-F238E27FC236}">
              <a16:creationId xmlns:a16="http://schemas.microsoft.com/office/drawing/2014/main" id="{FD5C1C74-E71B-4791-B231-66AAABF1AF48}"/>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79" name="Shape 5">
          <a:extLst>
            <a:ext uri="{FF2B5EF4-FFF2-40B4-BE49-F238E27FC236}">
              <a16:creationId xmlns:a16="http://schemas.microsoft.com/office/drawing/2014/main" id="{0FB40E8A-7960-4BF1-A339-0B2127ADAC41}"/>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80" name="Shape 10">
          <a:extLst>
            <a:ext uri="{FF2B5EF4-FFF2-40B4-BE49-F238E27FC236}">
              <a16:creationId xmlns:a16="http://schemas.microsoft.com/office/drawing/2014/main" id="{D7697FDF-A971-44C9-874E-21B76FFA19CB}"/>
            </a:ext>
          </a:extLst>
        </xdr:cNvPr>
        <xdr:cNvSpPr txBox="1"/>
      </xdr:nvSpPr>
      <xdr:spPr>
        <a:xfrm>
          <a:off x="5838825" y="7318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9550"/>
    <xdr:sp macro="" textlink="">
      <xdr:nvSpPr>
        <xdr:cNvPr id="281" name="Shape 5">
          <a:extLst>
            <a:ext uri="{FF2B5EF4-FFF2-40B4-BE49-F238E27FC236}">
              <a16:creationId xmlns:a16="http://schemas.microsoft.com/office/drawing/2014/main" id="{213A41AE-3710-41AC-BB02-F54782AF3099}"/>
            </a:ext>
          </a:extLst>
        </xdr:cNvPr>
        <xdr:cNvSpPr txBox="1"/>
      </xdr:nvSpPr>
      <xdr:spPr>
        <a:xfrm>
          <a:off x="5838825" y="7318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463</xdr:row>
      <xdr:rowOff>0</xdr:rowOff>
    </xdr:from>
    <xdr:ext cx="85725" cy="209550"/>
    <xdr:sp macro="" textlink="">
      <xdr:nvSpPr>
        <xdr:cNvPr id="282" name="Shape 5">
          <a:extLst>
            <a:ext uri="{FF2B5EF4-FFF2-40B4-BE49-F238E27FC236}">
              <a16:creationId xmlns:a16="http://schemas.microsoft.com/office/drawing/2014/main" id="{21776573-B9C4-4A82-A589-A83B6F69C7BD}"/>
            </a:ext>
          </a:extLst>
        </xdr:cNvPr>
        <xdr:cNvSpPr txBox="1"/>
      </xdr:nvSpPr>
      <xdr:spPr>
        <a:xfrm>
          <a:off x="5838825" y="7350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463</xdr:row>
      <xdr:rowOff>0</xdr:rowOff>
    </xdr:from>
    <xdr:ext cx="38100" cy="104775"/>
    <xdr:sp macro="" textlink="">
      <xdr:nvSpPr>
        <xdr:cNvPr id="283" name="Shape 6">
          <a:extLst>
            <a:ext uri="{FF2B5EF4-FFF2-40B4-BE49-F238E27FC236}">
              <a16:creationId xmlns:a16="http://schemas.microsoft.com/office/drawing/2014/main" id="{259755E5-30A0-410E-9D11-7C9503D2D892}"/>
            </a:ext>
          </a:extLst>
        </xdr:cNvPr>
        <xdr:cNvSpPr txBox="1"/>
      </xdr:nvSpPr>
      <xdr:spPr>
        <a:xfrm>
          <a:off x="0" y="735012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0025"/>
    <xdr:sp macro="" textlink="">
      <xdr:nvSpPr>
        <xdr:cNvPr id="284" name="Shape 10">
          <a:extLst>
            <a:ext uri="{FF2B5EF4-FFF2-40B4-BE49-F238E27FC236}">
              <a16:creationId xmlns:a16="http://schemas.microsoft.com/office/drawing/2014/main" id="{CCCCE7D3-05A1-4FCB-97D3-632B974AD34E}"/>
            </a:ext>
          </a:extLst>
        </xdr:cNvPr>
        <xdr:cNvSpPr txBox="1"/>
      </xdr:nvSpPr>
      <xdr:spPr>
        <a:xfrm>
          <a:off x="5838825" y="7334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85" name="Shape 6">
          <a:extLst>
            <a:ext uri="{FF2B5EF4-FFF2-40B4-BE49-F238E27FC236}">
              <a16:creationId xmlns:a16="http://schemas.microsoft.com/office/drawing/2014/main" id="{FD9F1E31-CEFC-43BB-8C9E-BAC852915293}"/>
            </a:ext>
          </a:extLst>
        </xdr:cNvPr>
        <xdr:cNvSpPr txBox="1"/>
      </xdr:nvSpPr>
      <xdr:spPr>
        <a:xfrm>
          <a:off x="0" y="733425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86" name="Shape 5">
          <a:extLst>
            <a:ext uri="{FF2B5EF4-FFF2-40B4-BE49-F238E27FC236}">
              <a16:creationId xmlns:a16="http://schemas.microsoft.com/office/drawing/2014/main" id="{581018C9-928B-4A5B-B5A8-FCB31075B2D0}"/>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7" name="Shape 10">
          <a:extLst>
            <a:ext uri="{FF2B5EF4-FFF2-40B4-BE49-F238E27FC236}">
              <a16:creationId xmlns:a16="http://schemas.microsoft.com/office/drawing/2014/main" id="{D86E99D0-8E06-4C73-A774-C098BCA1579F}"/>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88" name="Shape 5">
          <a:extLst>
            <a:ext uri="{FF2B5EF4-FFF2-40B4-BE49-F238E27FC236}">
              <a16:creationId xmlns:a16="http://schemas.microsoft.com/office/drawing/2014/main" id="{54679954-65D7-4ACF-83EB-D0736A783A30}"/>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89" name="Shape 5">
          <a:extLst>
            <a:ext uri="{FF2B5EF4-FFF2-40B4-BE49-F238E27FC236}">
              <a16:creationId xmlns:a16="http://schemas.microsoft.com/office/drawing/2014/main" id="{5D8CB190-BDF5-4460-B6F8-65A62FB244BC}"/>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0" name="Shape 5">
          <a:extLst>
            <a:ext uri="{FF2B5EF4-FFF2-40B4-BE49-F238E27FC236}">
              <a16:creationId xmlns:a16="http://schemas.microsoft.com/office/drawing/2014/main" id="{C20D7EA5-4447-4A5A-8FBD-6003F159AD9C}"/>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1" name="Shape 5">
          <a:extLst>
            <a:ext uri="{FF2B5EF4-FFF2-40B4-BE49-F238E27FC236}">
              <a16:creationId xmlns:a16="http://schemas.microsoft.com/office/drawing/2014/main" id="{9CC17F48-3B50-4478-B003-7D97D5241EA4}"/>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2" name="Shape 5">
          <a:extLst>
            <a:ext uri="{FF2B5EF4-FFF2-40B4-BE49-F238E27FC236}">
              <a16:creationId xmlns:a16="http://schemas.microsoft.com/office/drawing/2014/main" id="{56834BB0-B499-489F-92F4-5D9EE02FFB7E}"/>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93" name="Shape 10">
          <a:extLst>
            <a:ext uri="{FF2B5EF4-FFF2-40B4-BE49-F238E27FC236}">
              <a16:creationId xmlns:a16="http://schemas.microsoft.com/office/drawing/2014/main" id="{A368C34C-0D95-4F14-8621-D2CE3E94399A}"/>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4" name="Shape 5">
          <a:extLst>
            <a:ext uri="{FF2B5EF4-FFF2-40B4-BE49-F238E27FC236}">
              <a16:creationId xmlns:a16="http://schemas.microsoft.com/office/drawing/2014/main" id="{17E40224-0212-4940-897C-1DD7F2D74F67}"/>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5" name="Shape 5">
          <a:extLst>
            <a:ext uri="{FF2B5EF4-FFF2-40B4-BE49-F238E27FC236}">
              <a16:creationId xmlns:a16="http://schemas.microsoft.com/office/drawing/2014/main" id="{1AA8B154-11BE-42B5-9B06-9089391375CB}"/>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6" name="Shape 5">
          <a:extLst>
            <a:ext uri="{FF2B5EF4-FFF2-40B4-BE49-F238E27FC236}">
              <a16:creationId xmlns:a16="http://schemas.microsoft.com/office/drawing/2014/main" id="{898F7386-9818-4C3B-A0AE-8FE705B83376}"/>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7" name="Shape 5">
          <a:extLst>
            <a:ext uri="{FF2B5EF4-FFF2-40B4-BE49-F238E27FC236}">
              <a16:creationId xmlns:a16="http://schemas.microsoft.com/office/drawing/2014/main" id="{BBC1C080-6C9C-479B-A71D-C448B29ECCB2}"/>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298" name="Shape 5">
          <a:extLst>
            <a:ext uri="{FF2B5EF4-FFF2-40B4-BE49-F238E27FC236}">
              <a16:creationId xmlns:a16="http://schemas.microsoft.com/office/drawing/2014/main" id="{76A31856-D8A0-4379-8F08-4B88889E7B77}"/>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99" name="Shape 10">
          <a:extLst>
            <a:ext uri="{FF2B5EF4-FFF2-40B4-BE49-F238E27FC236}">
              <a16:creationId xmlns:a16="http://schemas.microsoft.com/office/drawing/2014/main" id="{8D025DA2-61E6-49E7-90C8-A8C1A96B46B2}"/>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0" name="Shape 5">
          <a:extLst>
            <a:ext uri="{FF2B5EF4-FFF2-40B4-BE49-F238E27FC236}">
              <a16:creationId xmlns:a16="http://schemas.microsoft.com/office/drawing/2014/main" id="{5E2FAD8F-BB9F-463D-8B48-E1B9F206A164}"/>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1" name="Shape 5">
          <a:extLst>
            <a:ext uri="{FF2B5EF4-FFF2-40B4-BE49-F238E27FC236}">
              <a16:creationId xmlns:a16="http://schemas.microsoft.com/office/drawing/2014/main" id="{7DBBE29C-3D8B-4825-94DF-EEB0E3D5EDCC}"/>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2" name="Shape 5">
          <a:extLst>
            <a:ext uri="{FF2B5EF4-FFF2-40B4-BE49-F238E27FC236}">
              <a16:creationId xmlns:a16="http://schemas.microsoft.com/office/drawing/2014/main" id="{42EB79AB-D815-4B6C-A314-7D77CF6C9379}"/>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3" name="Shape 5">
          <a:extLst>
            <a:ext uri="{FF2B5EF4-FFF2-40B4-BE49-F238E27FC236}">
              <a16:creationId xmlns:a16="http://schemas.microsoft.com/office/drawing/2014/main" id="{8BB3B03E-4E44-4943-8DDB-1FB6499B9B60}"/>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4" name="Shape 5">
          <a:extLst>
            <a:ext uri="{FF2B5EF4-FFF2-40B4-BE49-F238E27FC236}">
              <a16:creationId xmlns:a16="http://schemas.microsoft.com/office/drawing/2014/main" id="{93D09277-94BE-434D-A837-3B00E6981CE2}"/>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305" name="Shape 10">
          <a:extLst>
            <a:ext uri="{FF2B5EF4-FFF2-40B4-BE49-F238E27FC236}">
              <a16:creationId xmlns:a16="http://schemas.microsoft.com/office/drawing/2014/main" id="{F103AFB7-FAB2-47E4-82E6-CF63FCA7C5A9}"/>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6" name="Shape 5">
          <a:extLst>
            <a:ext uri="{FF2B5EF4-FFF2-40B4-BE49-F238E27FC236}">
              <a16:creationId xmlns:a16="http://schemas.microsoft.com/office/drawing/2014/main" id="{0E772F75-1ECA-4004-A48C-89AB5E8012C3}"/>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7" name="Shape 5">
          <a:extLst>
            <a:ext uri="{FF2B5EF4-FFF2-40B4-BE49-F238E27FC236}">
              <a16:creationId xmlns:a16="http://schemas.microsoft.com/office/drawing/2014/main" id="{A5EBAA09-18D3-40AE-B5B8-2A24A8C0BACC}"/>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8" name="Shape 5">
          <a:extLst>
            <a:ext uri="{FF2B5EF4-FFF2-40B4-BE49-F238E27FC236}">
              <a16:creationId xmlns:a16="http://schemas.microsoft.com/office/drawing/2014/main" id="{AC6DC033-57A9-45D6-B8F0-CA9DD52835A3}"/>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09" name="Shape 5">
          <a:extLst>
            <a:ext uri="{FF2B5EF4-FFF2-40B4-BE49-F238E27FC236}">
              <a16:creationId xmlns:a16="http://schemas.microsoft.com/office/drawing/2014/main" id="{A146A430-CBAA-447A-BBB1-63667118A313}"/>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0" name="Shape 5">
          <a:extLst>
            <a:ext uri="{FF2B5EF4-FFF2-40B4-BE49-F238E27FC236}">
              <a16:creationId xmlns:a16="http://schemas.microsoft.com/office/drawing/2014/main" id="{EE5BEBEB-B5C4-4956-A88A-F610205F1DB7}"/>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311" name="Shape 10">
          <a:extLst>
            <a:ext uri="{FF2B5EF4-FFF2-40B4-BE49-F238E27FC236}">
              <a16:creationId xmlns:a16="http://schemas.microsoft.com/office/drawing/2014/main" id="{CA60C928-C98B-4244-8EF6-482D81BA99D3}"/>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2" name="Shape 5">
          <a:extLst>
            <a:ext uri="{FF2B5EF4-FFF2-40B4-BE49-F238E27FC236}">
              <a16:creationId xmlns:a16="http://schemas.microsoft.com/office/drawing/2014/main" id="{8051BCB6-D2CF-4D03-83D6-CAC14A011321}"/>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3" name="Shape 5">
          <a:extLst>
            <a:ext uri="{FF2B5EF4-FFF2-40B4-BE49-F238E27FC236}">
              <a16:creationId xmlns:a16="http://schemas.microsoft.com/office/drawing/2014/main" id="{E601A186-9378-4FEB-B544-40C474228DE5}"/>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4" name="Shape 5">
          <a:extLst>
            <a:ext uri="{FF2B5EF4-FFF2-40B4-BE49-F238E27FC236}">
              <a16:creationId xmlns:a16="http://schemas.microsoft.com/office/drawing/2014/main" id="{92D2B4BF-4C67-4CA6-B1A4-48CD15D3FFCC}"/>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5" name="Shape 5">
          <a:extLst>
            <a:ext uri="{FF2B5EF4-FFF2-40B4-BE49-F238E27FC236}">
              <a16:creationId xmlns:a16="http://schemas.microsoft.com/office/drawing/2014/main" id="{37B0DEE3-4CED-40DE-829D-3556630A0708}"/>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6" name="Shape 5">
          <a:extLst>
            <a:ext uri="{FF2B5EF4-FFF2-40B4-BE49-F238E27FC236}">
              <a16:creationId xmlns:a16="http://schemas.microsoft.com/office/drawing/2014/main" id="{4808F3FC-35A0-440E-A1C9-E005A7787473}"/>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317" name="Shape 10">
          <a:extLst>
            <a:ext uri="{FF2B5EF4-FFF2-40B4-BE49-F238E27FC236}">
              <a16:creationId xmlns:a16="http://schemas.microsoft.com/office/drawing/2014/main" id="{94FB7ACC-FFC9-4D1E-9477-E843ABC6E8C9}"/>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8" name="Shape 5">
          <a:extLst>
            <a:ext uri="{FF2B5EF4-FFF2-40B4-BE49-F238E27FC236}">
              <a16:creationId xmlns:a16="http://schemas.microsoft.com/office/drawing/2014/main" id="{212B6F4B-6341-4C72-9C98-26517FAB413A}"/>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19" name="Shape 5">
          <a:extLst>
            <a:ext uri="{FF2B5EF4-FFF2-40B4-BE49-F238E27FC236}">
              <a16:creationId xmlns:a16="http://schemas.microsoft.com/office/drawing/2014/main" id="{C2055E81-2018-4BE2-AED3-F74C827B7F7C}"/>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20" name="Shape 5">
          <a:extLst>
            <a:ext uri="{FF2B5EF4-FFF2-40B4-BE49-F238E27FC236}">
              <a16:creationId xmlns:a16="http://schemas.microsoft.com/office/drawing/2014/main" id="{274CB6CB-9600-4239-9CB9-D32AE5990F62}"/>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21" name="Shape 5">
          <a:extLst>
            <a:ext uri="{FF2B5EF4-FFF2-40B4-BE49-F238E27FC236}">
              <a16:creationId xmlns:a16="http://schemas.microsoft.com/office/drawing/2014/main" id="{15E34DF7-B9B5-497B-836F-7B7E469CEBE6}"/>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22" name="Shape 5">
          <a:extLst>
            <a:ext uri="{FF2B5EF4-FFF2-40B4-BE49-F238E27FC236}">
              <a16:creationId xmlns:a16="http://schemas.microsoft.com/office/drawing/2014/main" id="{CCF0814A-2EE5-4C99-8106-8E75C4E8F1AA}"/>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323" name="Shape 10">
          <a:extLst>
            <a:ext uri="{FF2B5EF4-FFF2-40B4-BE49-F238E27FC236}">
              <a16:creationId xmlns:a16="http://schemas.microsoft.com/office/drawing/2014/main" id="{F8531653-B81E-4706-AD72-3FFA91EB4E0B}"/>
            </a:ext>
          </a:extLst>
        </xdr:cNvPr>
        <xdr:cNvSpPr txBox="1"/>
      </xdr:nvSpPr>
      <xdr:spPr>
        <a:xfrm>
          <a:off x="5838825" y="8239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9550"/>
    <xdr:sp macro="" textlink="">
      <xdr:nvSpPr>
        <xdr:cNvPr id="324" name="Shape 5">
          <a:extLst>
            <a:ext uri="{FF2B5EF4-FFF2-40B4-BE49-F238E27FC236}">
              <a16:creationId xmlns:a16="http://schemas.microsoft.com/office/drawing/2014/main" id="{4C6446AF-A226-442F-9ACD-3501B383AB70}"/>
            </a:ext>
          </a:extLst>
        </xdr:cNvPr>
        <xdr:cNvSpPr txBox="1"/>
      </xdr:nvSpPr>
      <xdr:spPr>
        <a:xfrm>
          <a:off x="5838825" y="8239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521</xdr:row>
      <xdr:rowOff>0</xdr:rowOff>
    </xdr:from>
    <xdr:ext cx="85725" cy="209550"/>
    <xdr:sp macro="" textlink="">
      <xdr:nvSpPr>
        <xdr:cNvPr id="325" name="Shape 5">
          <a:extLst>
            <a:ext uri="{FF2B5EF4-FFF2-40B4-BE49-F238E27FC236}">
              <a16:creationId xmlns:a16="http://schemas.microsoft.com/office/drawing/2014/main" id="{C5654A28-937C-4B14-9379-52925835C69A}"/>
            </a:ext>
          </a:extLst>
        </xdr:cNvPr>
        <xdr:cNvSpPr txBox="1"/>
      </xdr:nvSpPr>
      <xdr:spPr>
        <a:xfrm>
          <a:off x="5838825" y="8270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521</xdr:row>
      <xdr:rowOff>0</xdr:rowOff>
    </xdr:from>
    <xdr:ext cx="38100" cy="104775"/>
    <xdr:sp macro="" textlink="">
      <xdr:nvSpPr>
        <xdr:cNvPr id="326" name="Shape 6">
          <a:extLst>
            <a:ext uri="{FF2B5EF4-FFF2-40B4-BE49-F238E27FC236}">
              <a16:creationId xmlns:a16="http://schemas.microsoft.com/office/drawing/2014/main" id="{D5AEE608-F376-475E-86D9-AE017E499AB2}"/>
            </a:ext>
          </a:extLst>
        </xdr:cNvPr>
        <xdr:cNvSpPr txBox="1"/>
      </xdr:nvSpPr>
      <xdr:spPr>
        <a:xfrm>
          <a:off x="0" y="82708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0025"/>
    <xdr:sp macro="" textlink="">
      <xdr:nvSpPr>
        <xdr:cNvPr id="327" name="Shape 10">
          <a:extLst>
            <a:ext uri="{FF2B5EF4-FFF2-40B4-BE49-F238E27FC236}">
              <a16:creationId xmlns:a16="http://schemas.microsoft.com/office/drawing/2014/main" id="{C681B6C5-44F6-48D8-8D23-9A37B3B5968D}"/>
            </a:ext>
          </a:extLst>
        </xdr:cNvPr>
        <xdr:cNvSpPr txBox="1"/>
      </xdr:nvSpPr>
      <xdr:spPr>
        <a:xfrm>
          <a:off x="5838825" y="8255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328" name="Shape 6">
          <a:extLst>
            <a:ext uri="{FF2B5EF4-FFF2-40B4-BE49-F238E27FC236}">
              <a16:creationId xmlns:a16="http://schemas.microsoft.com/office/drawing/2014/main" id="{2EC984B8-D3E1-48E6-B093-50B1DA6DDAC6}"/>
            </a:ext>
          </a:extLst>
        </xdr:cNvPr>
        <xdr:cNvSpPr txBox="1"/>
      </xdr:nvSpPr>
      <xdr:spPr>
        <a:xfrm>
          <a:off x="0" y="825500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29" name="Shape 5">
          <a:extLst>
            <a:ext uri="{FF2B5EF4-FFF2-40B4-BE49-F238E27FC236}">
              <a16:creationId xmlns:a16="http://schemas.microsoft.com/office/drawing/2014/main" id="{EAB38A64-2973-477B-B786-5CC8F42828FD}"/>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30" name="Shape 10">
          <a:extLst>
            <a:ext uri="{FF2B5EF4-FFF2-40B4-BE49-F238E27FC236}">
              <a16:creationId xmlns:a16="http://schemas.microsoft.com/office/drawing/2014/main" id="{B5B4C770-87C3-4FE3-A51E-5329551E5687}"/>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1" name="Shape 5">
          <a:extLst>
            <a:ext uri="{FF2B5EF4-FFF2-40B4-BE49-F238E27FC236}">
              <a16:creationId xmlns:a16="http://schemas.microsoft.com/office/drawing/2014/main" id="{497E8BE7-5D39-40C3-A541-AD84F37145D6}"/>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2" name="Shape 5">
          <a:extLst>
            <a:ext uri="{FF2B5EF4-FFF2-40B4-BE49-F238E27FC236}">
              <a16:creationId xmlns:a16="http://schemas.microsoft.com/office/drawing/2014/main" id="{954CC94E-E3A4-46C6-A176-994F703EAAC7}"/>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3" name="Shape 5">
          <a:extLst>
            <a:ext uri="{FF2B5EF4-FFF2-40B4-BE49-F238E27FC236}">
              <a16:creationId xmlns:a16="http://schemas.microsoft.com/office/drawing/2014/main" id="{35881833-6B48-49EC-8C24-96DC7949D1D1}"/>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4" name="Shape 5">
          <a:extLst>
            <a:ext uri="{FF2B5EF4-FFF2-40B4-BE49-F238E27FC236}">
              <a16:creationId xmlns:a16="http://schemas.microsoft.com/office/drawing/2014/main" id="{8FA8F68D-47C6-410B-BC16-8E82D527EFEE}"/>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5" name="Shape 5">
          <a:extLst>
            <a:ext uri="{FF2B5EF4-FFF2-40B4-BE49-F238E27FC236}">
              <a16:creationId xmlns:a16="http://schemas.microsoft.com/office/drawing/2014/main" id="{A7EC4AF3-9FB8-41AC-AB4C-FE205B227BFE}"/>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36" name="Shape 10">
          <a:extLst>
            <a:ext uri="{FF2B5EF4-FFF2-40B4-BE49-F238E27FC236}">
              <a16:creationId xmlns:a16="http://schemas.microsoft.com/office/drawing/2014/main" id="{FC3D74BA-61D8-4F9C-978B-5C9F62E9956C}"/>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7" name="Shape 5">
          <a:extLst>
            <a:ext uri="{FF2B5EF4-FFF2-40B4-BE49-F238E27FC236}">
              <a16:creationId xmlns:a16="http://schemas.microsoft.com/office/drawing/2014/main" id="{66CC9122-011C-4AA7-872F-CF1DBD7CBD0D}"/>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8" name="Shape 5">
          <a:extLst>
            <a:ext uri="{FF2B5EF4-FFF2-40B4-BE49-F238E27FC236}">
              <a16:creationId xmlns:a16="http://schemas.microsoft.com/office/drawing/2014/main" id="{54D93B39-80CF-4DAE-B41D-E4DE8E990AAF}"/>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39" name="Shape 5">
          <a:extLst>
            <a:ext uri="{FF2B5EF4-FFF2-40B4-BE49-F238E27FC236}">
              <a16:creationId xmlns:a16="http://schemas.microsoft.com/office/drawing/2014/main" id="{E1C87D6D-4B14-427B-8C96-F1D9E1D28AF4}"/>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0" name="Shape 5">
          <a:extLst>
            <a:ext uri="{FF2B5EF4-FFF2-40B4-BE49-F238E27FC236}">
              <a16:creationId xmlns:a16="http://schemas.microsoft.com/office/drawing/2014/main" id="{ADBDA3B1-5238-411F-BC53-864DA076D617}"/>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1" name="Shape 5">
          <a:extLst>
            <a:ext uri="{FF2B5EF4-FFF2-40B4-BE49-F238E27FC236}">
              <a16:creationId xmlns:a16="http://schemas.microsoft.com/office/drawing/2014/main" id="{8FA45C40-6F4C-4CC4-923A-8B94D26D1664}"/>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42" name="Shape 10">
          <a:extLst>
            <a:ext uri="{FF2B5EF4-FFF2-40B4-BE49-F238E27FC236}">
              <a16:creationId xmlns:a16="http://schemas.microsoft.com/office/drawing/2014/main" id="{8F012A68-9A07-4BFC-9A16-488327D760D6}"/>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3" name="Shape 5">
          <a:extLst>
            <a:ext uri="{FF2B5EF4-FFF2-40B4-BE49-F238E27FC236}">
              <a16:creationId xmlns:a16="http://schemas.microsoft.com/office/drawing/2014/main" id="{ECFA7AFC-810C-4940-9D57-022F2D929651}"/>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4" name="Shape 5">
          <a:extLst>
            <a:ext uri="{FF2B5EF4-FFF2-40B4-BE49-F238E27FC236}">
              <a16:creationId xmlns:a16="http://schemas.microsoft.com/office/drawing/2014/main" id="{110F0378-AAB5-4D85-9A52-86809C2ADB29}"/>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5" name="Shape 5">
          <a:extLst>
            <a:ext uri="{FF2B5EF4-FFF2-40B4-BE49-F238E27FC236}">
              <a16:creationId xmlns:a16="http://schemas.microsoft.com/office/drawing/2014/main" id="{6F28A999-F2DA-4592-9F6A-0E8BB26B53A4}"/>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6" name="Shape 5">
          <a:extLst>
            <a:ext uri="{FF2B5EF4-FFF2-40B4-BE49-F238E27FC236}">
              <a16:creationId xmlns:a16="http://schemas.microsoft.com/office/drawing/2014/main" id="{2A5F89F4-B864-4C3E-9BAB-9043FB425E4F}"/>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7" name="Shape 5">
          <a:extLst>
            <a:ext uri="{FF2B5EF4-FFF2-40B4-BE49-F238E27FC236}">
              <a16:creationId xmlns:a16="http://schemas.microsoft.com/office/drawing/2014/main" id="{67CB43E4-05AE-4310-B907-3FF65E08CFD6}"/>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48" name="Shape 10">
          <a:extLst>
            <a:ext uri="{FF2B5EF4-FFF2-40B4-BE49-F238E27FC236}">
              <a16:creationId xmlns:a16="http://schemas.microsoft.com/office/drawing/2014/main" id="{1E3EBC5B-D177-4C91-AC51-DCA4A7E7751D}"/>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49" name="Shape 5">
          <a:extLst>
            <a:ext uri="{FF2B5EF4-FFF2-40B4-BE49-F238E27FC236}">
              <a16:creationId xmlns:a16="http://schemas.microsoft.com/office/drawing/2014/main" id="{7A29A951-6DB3-4C38-A81A-9BC306F4CB34}"/>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0" name="Shape 5">
          <a:extLst>
            <a:ext uri="{FF2B5EF4-FFF2-40B4-BE49-F238E27FC236}">
              <a16:creationId xmlns:a16="http://schemas.microsoft.com/office/drawing/2014/main" id="{7A074AE4-2292-4352-AC2A-52D7AFB009F8}"/>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1" name="Shape 5">
          <a:extLst>
            <a:ext uri="{FF2B5EF4-FFF2-40B4-BE49-F238E27FC236}">
              <a16:creationId xmlns:a16="http://schemas.microsoft.com/office/drawing/2014/main" id="{A81964BE-4886-4196-8A7D-8CE4E6379CD4}"/>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2" name="Shape 5">
          <a:extLst>
            <a:ext uri="{FF2B5EF4-FFF2-40B4-BE49-F238E27FC236}">
              <a16:creationId xmlns:a16="http://schemas.microsoft.com/office/drawing/2014/main" id="{70E89213-6207-4C3A-9B51-553E2E32BF2D}"/>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3" name="Shape 5">
          <a:extLst>
            <a:ext uri="{FF2B5EF4-FFF2-40B4-BE49-F238E27FC236}">
              <a16:creationId xmlns:a16="http://schemas.microsoft.com/office/drawing/2014/main" id="{03865D2B-EF05-43C0-8E8E-904B8E48165F}"/>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54" name="Shape 10">
          <a:extLst>
            <a:ext uri="{FF2B5EF4-FFF2-40B4-BE49-F238E27FC236}">
              <a16:creationId xmlns:a16="http://schemas.microsoft.com/office/drawing/2014/main" id="{81F6B38A-0EE2-4679-9546-20E1AFCEBB32}"/>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5" name="Shape 5">
          <a:extLst>
            <a:ext uri="{FF2B5EF4-FFF2-40B4-BE49-F238E27FC236}">
              <a16:creationId xmlns:a16="http://schemas.microsoft.com/office/drawing/2014/main" id="{207BBF3F-AB94-47A3-A60A-ECDDE5720AC4}"/>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6" name="Shape 5">
          <a:extLst>
            <a:ext uri="{FF2B5EF4-FFF2-40B4-BE49-F238E27FC236}">
              <a16:creationId xmlns:a16="http://schemas.microsoft.com/office/drawing/2014/main" id="{E9ACA326-5E0C-46EB-A8EB-4AD0AAB8955E}"/>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7" name="Shape 5">
          <a:extLst>
            <a:ext uri="{FF2B5EF4-FFF2-40B4-BE49-F238E27FC236}">
              <a16:creationId xmlns:a16="http://schemas.microsoft.com/office/drawing/2014/main" id="{30E763E0-F8B4-479B-AF13-E1E4A547C0FA}"/>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8" name="Shape 5">
          <a:extLst>
            <a:ext uri="{FF2B5EF4-FFF2-40B4-BE49-F238E27FC236}">
              <a16:creationId xmlns:a16="http://schemas.microsoft.com/office/drawing/2014/main" id="{F9EE82B9-5955-4BD4-ABB8-D58068785E9F}"/>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59" name="Shape 5">
          <a:extLst>
            <a:ext uri="{FF2B5EF4-FFF2-40B4-BE49-F238E27FC236}">
              <a16:creationId xmlns:a16="http://schemas.microsoft.com/office/drawing/2014/main" id="{A8814ADC-FDE4-4597-8ABD-6F5F9148522D}"/>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60" name="Shape 10">
          <a:extLst>
            <a:ext uri="{FF2B5EF4-FFF2-40B4-BE49-F238E27FC236}">
              <a16:creationId xmlns:a16="http://schemas.microsoft.com/office/drawing/2014/main" id="{02C8987C-05C0-4D6F-B29D-AA3502670FB8}"/>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1" name="Shape 5">
          <a:extLst>
            <a:ext uri="{FF2B5EF4-FFF2-40B4-BE49-F238E27FC236}">
              <a16:creationId xmlns:a16="http://schemas.microsoft.com/office/drawing/2014/main" id="{733EAD79-3BCE-48C4-9F2F-BF949B1252E5}"/>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2" name="Shape 5">
          <a:extLst>
            <a:ext uri="{FF2B5EF4-FFF2-40B4-BE49-F238E27FC236}">
              <a16:creationId xmlns:a16="http://schemas.microsoft.com/office/drawing/2014/main" id="{544D3C29-E2DD-4B0D-842E-2D0CFA0687AB}"/>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3" name="Shape 5">
          <a:extLst>
            <a:ext uri="{FF2B5EF4-FFF2-40B4-BE49-F238E27FC236}">
              <a16:creationId xmlns:a16="http://schemas.microsoft.com/office/drawing/2014/main" id="{428617DC-05ED-4C47-ACF8-B02EC500D107}"/>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4" name="Shape 5">
          <a:extLst>
            <a:ext uri="{FF2B5EF4-FFF2-40B4-BE49-F238E27FC236}">
              <a16:creationId xmlns:a16="http://schemas.microsoft.com/office/drawing/2014/main" id="{21692CF9-725C-46DA-8725-4E3B26E9029F}"/>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5" name="Shape 5">
          <a:extLst>
            <a:ext uri="{FF2B5EF4-FFF2-40B4-BE49-F238E27FC236}">
              <a16:creationId xmlns:a16="http://schemas.microsoft.com/office/drawing/2014/main" id="{343D386D-A497-4DA0-B4FC-67E232167F82}"/>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66" name="Shape 10">
          <a:extLst>
            <a:ext uri="{FF2B5EF4-FFF2-40B4-BE49-F238E27FC236}">
              <a16:creationId xmlns:a16="http://schemas.microsoft.com/office/drawing/2014/main" id="{730EF3BC-860E-4841-860A-8D57FFBFBA82}"/>
            </a:ext>
          </a:extLst>
        </xdr:cNvPr>
        <xdr:cNvSpPr txBox="1"/>
      </xdr:nvSpPr>
      <xdr:spPr>
        <a:xfrm>
          <a:off x="5838825" y="9159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9550"/>
    <xdr:sp macro="" textlink="">
      <xdr:nvSpPr>
        <xdr:cNvPr id="367" name="Shape 5">
          <a:extLst>
            <a:ext uri="{FF2B5EF4-FFF2-40B4-BE49-F238E27FC236}">
              <a16:creationId xmlns:a16="http://schemas.microsoft.com/office/drawing/2014/main" id="{9DD4CAFF-B402-401A-8ACE-66B5173894EB}"/>
            </a:ext>
          </a:extLst>
        </xdr:cNvPr>
        <xdr:cNvSpPr txBox="1"/>
      </xdr:nvSpPr>
      <xdr:spPr>
        <a:xfrm>
          <a:off x="5838825" y="9159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579</xdr:row>
      <xdr:rowOff>0</xdr:rowOff>
    </xdr:from>
    <xdr:ext cx="85725" cy="209550"/>
    <xdr:sp macro="" textlink="">
      <xdr:nvSpPr>
        <xdr:cNvPr id="368" name="Shape 5">
          <a:extLst>
            <a:ext uri="{FF2B5EF4-FFF2-40B4-BE49-F238E27FC236}">
              <a16:creationId xmlns:a16="http://schemas.microsoft.com/office/drawing/2014/main" id="{2AEC44E0-30D8-436D-BFCE-D0F0E99FCE65}"/>
            </a:ext>
          </a:extLst>
        </xdr:cNvPr>
        <xdr:cNvSpPr txBox="1"/>
      </xdr:nvSpPr>
      <xdr:spPr>
        <a:xfrm>
          <a:off x="5838825" y="9191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579</xdr:row>
      <xdr:rowOff>0</xdr:rowOff>
    </xdr:from>
    <xdr:ext cx="38100" cy="104775"/>
    <xdr:sp macro="" textlink="">
      <xdr:nvSpPr>
        <xdr:cNvPr id="369" name="Shape 6">
          <a:extLst>
            <a:ext uri="{FF2B5EF4-FFF2-40B4-BE49-F238E27FC236}">
              <a16:creationId xmlns:a16="http://schemas.microsoft.com/office/drawing/2014/main" id="{8F5F43D1-3F06-4E3B-A12B-FFAF58799D0B}"/>
            </a:ext>
          </a:extLst>
        </xdr:cNvPr>
        <xdr:cNvSpPr txBox="1"/>
      </xdr:nvSpPr>
      <xdr:spPr>
        <a:xfrm>
          <a:off x="0" y="919162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0025"/>
    <xdr:sp macro="" textlink="">
      <xdr:nvSpPr>
        <xdr:cNvPr id="370" name="Shape 10">
          <a:extLst>
            <a:ext uri="{FF2B5EF4-FFF2-40B4-BE49-F238E27FC236}">
              <a16:creationId xmlns:a16="http://schemas.microsoft.com/office/drawing/2014/main" id="{CA908D09-8A25-43FC-85FE-30332B3C78AA}"/>
            </a:ext>
          </a:extLst>
        </xdr:cNvPr>
        <xdr:cNvSpPr txBox="1"/>
      </xdr:nvSpPr>
      <xdr:spPr>
        <a:xfrm>
          <a:off x="5838825" y="91757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71" name="Shape 6">
          <a:extLst>
            <a:ext uri="{FF2B5EF4-FFF2-40B4-BE49-F238E27FC236}">
              <a16:creationId xmlns:a16="http://schemas.microsoft.com/office/drawing/2014/main" id="{6116034C-EA25-441D-BF44-5B224AB23986}"/>
            </a:ext>
          </a:extLst>
        </xdr:cNvPr>
        <xdr:cNvSpPr txBox="1"/>
      </xdr:nvSpPr>
      <xdr:spPr>
        <a:xfrm>
          <a:off x="0" y="917575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72" name="Shape 5">
          <a:extLst>
            <a:ext uri="{FF2B5EF4-FFF2-40B4-BE49-F238E27FC236}">
              <a16:creationId xmlns:a16="http://schemas.microsoft.com/office/drawing/2014/main" id="{7E370071-56B3-4E73-9255-CFABFD1D58C8}"/>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3" name="Shape 10">
          <a:extLst>
            <a:ext uri="{FF2B5EF4-FFF2-40B4-BE49-F238E27FC236}">
              <a16:creationId xmlns:a16="http://schemas.microsoft.com/office/drawing/2014/main" id="{DBE2B89F-C18C-4B3E-8E0F-86142770FFDB}"/>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74" name="Shape 5">
          <a:extLst>
            <a:ext uri="{FF2B5EF4-FFF2-40B4-BE49-F238E27FC236}">
              <a16:creationId xmlns:a16="http://schemas.microsoft.com/office/drawing/2014/main" id="{C0F48CF1-6518-4736-B9C3-477346DD0373}"/>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75" name="Shape 5">
          <a:extLst>
            <a:ext uri="{FF2B5EF4-FFF2-40B4-BE49-F238E27FC236}">
              <a16:creationId xmlns:a16="http://schemas.microsoft.com/office/drawing/2014/main" id="{E85F1A58-90B7-444E-85A3-381DE7F03019}"/>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76" name="Shape 5">
          <a:extLst>
            <a:ext uri="{FF2B5EF4-FFF2-40B4-BE49-F238E27FC236}">
              <a16:creationId xmlns:a16="http://schemas.microsoft.com/office/drawing/2014/main" id="{BED3420E-9C55-4889-9842-B1592BA36BF1}"/>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77" name="Shape 5">
          <a:extLst>
            <a:ext uri="{FF2B5EF4-FFF2-40B4-BE49-F238E27FC236}">
              <a16:creationId xmlns:a16="http://schemas.microsoft.com/office/drawing/2014/main" id="{B6403FE6-35A0-4530-A238-63F888FE10D0}"/>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78" name="Shape 5">
          <a:extLst>
            <a:ext uri="{FF2B5EF4-FFF2-40B4-BE49-F238E27FC236}">
              <a16:creationId xmlns:a16="http://schemas.microsoft.com/office/drawing/2014/main" id="{00C35905-4586-4605-ABC6-0C851BEEA986}"/>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9" name="Shape 10">
          <a:extLst>
            <a:ext uri="{FF2B5EF4-FFF2-40B4-BE49-F238E27FC236}">
              <a16:creationId xmlns:a16="http://schemas.microsoft.com/office/drawing/2014/main" id="{A530F5A2-3110-47EE-898D-6E3566F364DA}"/>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0" name="Shape 5">
          <a:extLst>
            <a:ext uri="{FF2B5EF4-FFF2-40B4-BE49-F238E27FC236}">
              <a16:creationId xmlns:a16="http://schemas.microsoft.com/office/drawing/2014/main" id="{50BA308C-D78B-48CC-B963-25370068610E}"/>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1" name="Shape 5">
          <a:extLst>
            <a:ext uri="{FF2B5EF4-FFF2-40B4-BE49-F238E27FC236}">
              <a16:creationId xmlns:a16="http://schemas.microsoft.com/office/drawing/2014/main" id="{1ED3718A-0D5E-407C-8D60-2A3E3E272981}"/>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2" name="Shape 5">
          <a:extLst>
            <a:ext uri="{FF2B5EF4-FFF2-40B4-BE49-F238E27FC236}">
              <a16:creationId xmlns:a16="http://schemas.microsoft.com/office/drawing/2014/main" id="{EE21D389-5660-4E89-94A1-A1911D86DB16}"/>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3" name="Shape 5">
          <a:extLst>
            <a:ext uri="{FF2B5EF4-FFF2-40B4-BE49-F238E27FC236}">
              <a16:creationId xmlns:a16="http://schemas.microsoft.com/office/drawing/2014/main" id="{5F05B10A-5D46-4D16-B97A-76CEBAA9173D}"/>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4" name="Shape 5">
          <a:extLst>
            <a:ext uri="{FF2B5EF4-FFF2-40B4-BE49-F238E27FC236}">
              <a16:creationId xmlns:a16="http://schemas.microsoft.com/office/drawing/2014/main" id="{F692BC6E-CCE8-4C7B-83CA-AC79ED3BF896}"/>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85" name="Shape 10">
          <a:extLst>
            <a:ext uri="{FF2B5EF4-FFF2-40B4-BE49-F238E27FC236}">
              <a16:creationId xmlns:a16="http://schemas.microsoft.com/office/drawing/2014/main" id="{1712378D-3BEB-4625-BF4A-10B3BC0EA841}"/>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6" name="Shape 5">
          <a:extLst>
            <a:ext uri="{FF2B5EF4-FFF2-40B4-BE49-F238E27FC236}">
              <a16:creationId xmlns:a16="http://schemas.microsoft.com/office/drawing/2014/main" id="{A41CBFA1-7C66-4AB2-9507-1910F9CB0A5F}"/>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7" name="Shape 5">
          <a:extLst>
            <a:ext uri="{FF2B5EF4-FFF2-40B4-BE49-F238E27FC236}">
              <a16:creationId xmlns:a16="http://schemas.microsoft.com/office/drawing/2014/main" id="{67A8B158-AB37-49C2-8EC4-9310292D2AC7}"/>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8" name="Shape 5">
          <a:extLst>
            <a:ext uri="{FF2B5EF4-FFF2-40B4-BE49-F238E27FC236}">
              <a16:creationId xmlns:a16="http://schemas.microsoft.com/office/drawing/2014/main" id="{1501525E-3637-48BF-8DB7-2697D7901E0E}"/>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89" name="Shape 5">
          <a:extLst>
            <a:ext uri="{FF2B5EF4-FFF2-40B4-BE49-F238E27FC236}">
              <a16:creationId xmlns:a16="http://schemas.microsoft.com/office/drawing/2014/main" id="{9B30DD28-36CD-47CE-B34B-6990FF5A11EF}"/>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0" name="Shape 5">
          <a:extLst>
            <a:ext uri="{FF2B5EF4-FFF2-40B4-BE49-F238E27FC236}">
              <a16:creationId xmlns:a16="http://schemas.microsoft.com/office/drawing/2014/main" id="{D81A867E-3B24-4CAE-BF0C-189BAA34AF31}"/>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91" name="Shape 10">
          <a:extLst>
            <a:ext uri="{FF2B5EF4-FFF2-40B4-BE49-F238E27FC236}">
              <a16:creationId xmlns:a16="http://schemas.microsoft.com/office/drawing/2014/main" id="{A9DC0B0B-1594-488D-A97D-B4669DB0ADA8}"/>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2" name="Shape 5">
          <a:extLst>
            <a:ext uri="{FF2B5EF4-FFF2-40B4-BE49-F238E27FC236}">
              <a16:creationId xmlns:a16="http://schemas.microsoft.com/office/drawing/2014/main" id="{38BA8DE7-CD7A-42A9-8B37-F722A198A860}"/>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3" name="Shape 5">
          <a:extLst>
            <a:ext uri="{FF2B5EF4-FFF2-40B4-BE49-F238E27FC236}">
              <a16:creationId xmlns:a16="http://schemas.microsoft.com/office/drawing/2014/main" id="{87D226E9-90DF-4D2F-AA82-136863312638}"/>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4" name="Shape 5">
          <a:extLst>
            <a:ext uri="{FF2B5EF4-FFF2-40B4-BE49-F238E27FC236}">
              <a16:creationId xmlns:a16="http://schemas.microsoft.com/office/drawing/2014/main" id="{1F924525-5FB2-4A3E-BC38-9031752F6DCE}"/>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5" name="Shape 5">
          <a:extLst>
            <a:ext uri="{FF2B5EF4-FFF2-40B4-BE49-F238E27FC236}">
              <a16:creationId xmlns:a16="http://schemas.microsoft.com/office/drawing/2014/main" id="{9A184935-67FF-4013-BC96-7C97E3BAC5EC}"/>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6" name="Shape 5">
          <a:extLst>
            <a:ext uri="{FF2B5EF4-FFF2-40B4-BE49-F238E27FC236}">
              <a16:creationId xmlns:a16="http://schemas.microsoft.com/office/drawing/2014/main" id="{1FD0E247-CCCE-4230-8255-6CFA3C2B8F01}"/>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97" name="Shape 10">
          <a:extLst>
            <a:ext uri="{FF2B5EF4-FFF2-40B4-BE49-F238E27FC236}">
              <a16:creationId xmlns:a16="http://schemas.microsoft.com/office/drawing/2014/main" id="{D359D10B-ECBA-4BDC-B52D-A07B5B1A6188}"/>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8" name="Shape 5">
          <a:extLst>
            <a:ext uri="{FF2B5EF4-FFF2-40B4-BE49-F238E27FC236}">
              <a16:creationId xmlns:a16="http://schemas.microsoft.com/office/drawing/2014/main" id="{81725D76-07E1-484F-8909-E7A313D52993}"/>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399" name="Shape 5">
          <a:extLst>
            <a:ext uri="{FF2B5EF4-FFF2-40B4-BE49-F238E27FC236}">
              <a16:creationId xmlns:a16="http://schemas.microsoft.com/office/drawing/2014/main" id="{72DC845F-36BF-4AB5-AFEA-05644B99FB09}"/>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0" name="Shape 5">
          <a:extLst>
            <a:ext uri="{FF2B5EF4-FFF2-40B4-BE49-F238E27FC236}">
              <a16:creationId xmlns:a16="http://schemas.microsoft.com/office/drawing/2014/main" id="{276C0D47-2189-4D9A-B05E-867969A44C6E}"/>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1" name="Shape 5">
          <a:extLst>
            <a:ext uri="{FF2B5EF4-FFF2-40B4-BE49-F238E27FC236}">
              <a16:creationId xmlns:a16="http://schemas.microsoft.com/office/drawing/2014/main" id="{07FAF881-A98B-4EE2-BA5D-4D8BFA794DE1}"/>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2" name="Shape 5">
          <a:extLst>
            <a:ext uri="{FF2B5EF4-FFF2-40B4-BE49-F238E27FC236}">
              <a16:creationId xmlns:a16="http://schemas.microsoft.com/office/drawing/2014/main" id="{5911719D-0E00-4EAD-9794-56FC17227BDB}"/>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403" name="Shape 10">
          <a:extLst>
            <a:ext uri="{FF2B5EF4-FFF2-40B4-BE49-F238E27FC236}">
              <a16:creationId xmlns:a16="http://schemas.microsoft.com/office/drawing/2014/main" id="{A039B176-8A73-4017-BC6C-D259C81F6C17}"/>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4" name="Shape 5">
          <a:extLst>
            <a:ext uri="{FF2B5EF4-FFF2-40B4-BE49-F238E27FC236}">
              <a16:creationId xmlns:a16="http://schemas.microsoft.com/office/drawing/2014/main" id="{D8F6BA65-20EC-4A5E-9F75-811C09620968}"/>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5" name="Shape 5">
          <a:extLst>
            <a:ext uri="{FF2B5EF4-FFF2-40B4-BE49-F238E27FC236}">
              <a16:creationId xmlns:a16="http://schemas.microsoft.com/office/drawing/2014/main" id="{1D920656-489D-4E82-88EE-8AC3A76A4182}"/>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6" name="Shape 5">
          <a:extLst>
            <a:ext uri="{FF2B5EF4-FFF2-40B4-BE49-F238E27FC236}">
              <a16:creationId xmlns:a16="http://schemas.microsoft.com/office/drawing/2014/main" id="{B36A96EB-49F0-4166-B34D-4DE3AC9987D1}"/>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7" name="Shape 5">
          <a:extLst>
            <a:ext uri="{FF2B5EF4-FFF2-40B4-BE49-F238E27FC236}">
              <a16:creationId xmlns:a16="http://schemas.microsoft.com/office/drawing/2014/main" id="{E05358D2-7A4B-4BCB-ACF8-495C4C692EA5}"/>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08" name="Shape 5">
          <a:extLst>
            <a:ext uri="{FF2B5EF4-FFF2-40B4-BE49-F238E27FC236}">
              <a16:creationId xmlns:a16="http://schemas.microsoft.com/office/drawing/2014/main" id="{CB7F4822-58B5-4960-BAFE-6E6502B4E742}"/>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409" name="Shape 10">
          <a:extLst>
            <a:ext uri="{FF2B5EF4-FFF2-40B4-BE49-F238E27FC236}">
              <a16:creationId xmlns:a16="http://schemas.microsoft.com/office/drawing/2014/main" id="{C96B4311-F5F0-4F8A-B4E0-465C05192B5F}"/>
            </a:ext>
          </a:extLst>
        </xdr:cNvPr>
        <xdr:cNvSpPr txBox="1"/>
      </xdr:nvSpPr>
      <xdr:spPr>
        <a:xfrm>
          <a:off x="5838825" y="10080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9550"/>
    <xdr:sp macro="" textlink="">
      <xdr:nvSpPr>
        <xdr:cNvPr id="410" name="Shape 5">
          <a:extLst>
            <a:ext uri="{FF2B5EF4-FFF2-40B4-BE49-F238E27FC236}">
              <a16:creationId xmlns:a16="http://schemas.microsoft.com/office/drawing/2014/main" id="{A8A4749F-120F-4109-90A2-03499737A16D}"/>
            </a:ext>
          </a:extLst>
        </xdr:cNvPr>
        <xdr:cNvSpPr txBox="1"/>
      </xdr:nvSpPr>
      <xdr:spPr>
        <a:xfrm>
          <a:off x="5838825" y="10080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637</xdr:row>
      <xdr:rowOff>0</xdr:rowOff>
    </xdr:from>
    <xdr:ext cx="85725" cy="209550"/>
    <xdr:sp macro="" textlink="">
      <xdr:nvSpPr>
        <xdr:cNvPr id="411" name="Shape 5">
          <a:extLst>
            <a:ext uri="{FF2B5EF4-FFF2-40B4-BE49-F238E27FC236}">
              <a16:creationId xmlns:a16="http://schemas.microsoft.com/office/drawing/2014/main" id="{638C09A1-6113-4012-A0FB-971997CFC5D8}"/>
            </a:ext>
          </a:extLst>
        </xdr:cNvPr>
        <xdr:cNvSpPr txBox="1"/>
      </xdr:nvSpPr>
      <xdr:spPr>
        <a:xfrm>
          <a:off x="5838825" y="10112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637</xdr:row>
      <xdr:rowOff>0</xdr:rowOff>
    </xdr:from>
    <xdr:ext cx="38100" cy="104775"/>
    <xdr:sp macro="" textlink="">
      <xdr:nvSpPr>
        <xdr:cNvPr id="412" name="Shape 6">
          <a:extLst>
            <a:ext uri="{FF2B5EF4-FFF2-40B4-BE49-F238E27FC236}">
              <a16:creationId xmlns:a16="http://schemas.microsoft.com/office/drawing/2014/main" id="{5A272438-87FF-41B9-A879-3A8722FA6489}"/>
            </a:ext>
          </a:extLst>
        </xdr:cNvPr>
        <xdr:cNvSpPr txBox="1"/>
      </xdr:nvSpPr>
      <xdr:spPr>
        <a:xfrm>
          <a:off x="0" y="10112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0025"/>
    <xdr:sp macro="" textlink="">
      <xdr:nvSpPr>
        <xdr:cNvPr id="413" name="Shape 10">
          <a:extLst>
            <a:ext uri="{FF2B5EF4-FFF2-40B4-BE49-F238E27FC236}">
              <a16:creationId xmlns:a16="http://schemas.microsoft.com/office/drawing/2014/main" id="{0E7477E6-10AF-47A3-B500-9AD8CD31860A}"/>
            </a:ext>
          </a:extLst>
        </xdr:cNvPr>
        <xdr:cNvSpPr txBox="1"/>
      </xdr:nvSpPr>
      <xdr:spPr>
        <a:xfrm>
          <a:off x="5838825" y="100965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414" name="Shape 6">
          <a:extLst>
            <a:ext uri="{FF2B5EF4-FFF2-40B4-BE49-F238E27FC236}">
              <a16:creationId xmlns:a16="http://schemas.microsoft.com/office/drawing/2014/main" id="{41C9E5D6-256F-43C9-8606-15C608FA3A59}"/>
            </a:ext>
          </a:extLst>
        </xdr:cNvPr>
        <xdr:cNvSpPr txBox="1"/>
      </xdr:nvSpPr>
      <xdr:spPr>
        <a:xfrm>
          <a:off x="0" y="1009650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15" name="Shape 11">
          <a:extLst>
            <a:ext uri="{FF2B5EF4-FFF2-40B4-BE49-F238E27FC236}">
              <a16:creationId xmlns:a16="http://schemas.microsoft.com/office/drawing/2014/main" id="{62E30D6D-0F0F-4DF3-AF3F-26E8DAAE5DFE}"/>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6" name="Shape 10">
          <a:extLst>
            <a:ext uri="{FF2B5EF4-FFF2-40B4-BE49-F238E27FC236}">
              <a16:creationId xmlns:a16="http://schemas.microsoft.com/office/drawing/2014/main" id="{9C031EBA-8C1F-4FF0-9581-11284308FCB0}"/>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17" name="Shape 11">
          <a:extLst>
            <a:ext uri="{FF2B5EF4-FFF2-40B4-BE49-F238E27FC236}">
              <a16:creationId xmlns:a16="http://schemas.microsoft.com/office/drawing/2014/main" id="{CE594FF8-27BD-480E-A452-36C2707BE5D6}"/>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18" name="Shape 11">
          <a:extLst>
            <a:ext uri="{FF2B5EF4-FFF2-40B4-BE49-F238E27FC236}">
              <a16:creationId xmlns:a16="http://schemas.microsoft.com/office/drawing/2014/main" id="{F6D653DA-DA41-4428-90F0-09F351FFC0C3}"/>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19" name="Shape 11">
          <a:extLst>
            <a:ext uri="{FF2B5EF4-FFF2-40B4-BE49-F238E27FC236}">
              <a16:creationId xmlns:a16="http://schemas.microsoft.com/office/drawing/2014/main" id="{C714EAB3-F0E2-4642-83DE-33E4417E7B82}"/>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0" name="Shape 11">
          <a:extLst>
            <a:ext uri="{FF2B5EF4-FFF2-40B4-BE49-F238E27FC236}">
              <a16:creationId xmlns:a16="http://schemas.microsoft.com/office/drawing/2014/main" id="{DCBA360F-E232-4071-90EB-3C428F41E1E3}"/>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1" name="Shape 11">
          <a:extLst>
            <a:ext uri="{FF2B5EF4-FFF2-40B4-BE49-F238E27FC236}">
              <a16:creationId xmlns:a16="http://schemas.microsoft.com/office/drawing/2014/main" id="{B3589795-4D1F-4300-AFBA-3F1264F2A1E8}"/>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22" name="Shape 10">
          <a:extLst>
            <a:ext uri="{FF2B5EF4-FFF2-40B4-BE49-F238E27FC236}">
              <a16:creationId xmlns:a16="http://schemas.microsoft.com/office/drawing/2014/main" id="{0A934AEC-54A1-4F20-91FF-8531EDC5BE83}"/>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3" name="Shape 11">
          <a:extLst>
            <a:ext uri="{FF2B5EF4-FFF2-40B4-BE49-F238E27FC236}">
              <a16:creationId xmlns:a16="http://schemas.microsoft.com/office/drawing/2014/main" id="{74DBD036-AB2E-474C-8723-C74D30523B76}"/>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4" name="Shape 11">
          <a:extLst>
            <a:ext uri="{FF2B5EF4-FFF2-40B4-BE49-F238E27FC236}">
              <a16:creationId xmlns:a16="http://schemas.microsoft.com/office/drawing/2014/main" id="{EC053896-314C-4AEB-A0A0-543030835614}"/>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5" name="Shape 11">
          <a:extLst>
            <a:ext uri="{FF2B5EF4-FFF2-40B4-BE49-F238E27FC236}">
              <a16:creationId xmlns:a16="http://schemas.microsoft.com/office/drawing/2014/main" id="{C17F76E5-E491-4F56-8D10-161B839951BD}"/>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6" name="Shape 11">
          <a:extLst>
            <a:ext uri="{FF2B5EF4-FFF2-40B4-BE49-F238E27FC236}">
              <a16:creationId xmlns:a16="http://schemas.microsoft.com/office/drawing/2014/main" id="{39CF87ED-4330-46C0-87B1-86BDECDCB313}"/>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7" name="Shape 11">
          <a:extLst>
            <a:ext uri="{FF2B5EF4-FFF2-40B4-BE49-F238E27FC236}">
              <a16:creationId xmlns:a16="http://schemas.microsoft.com/office/drawing/2014/main" id="{F231752F-A53C-4FD9-ADD8-2E9D51390506}"/>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28" name="Shape 10">
          <a:extLst>
            <a:ext uri="{FF2B5EF4-FFF2-40B4-BE49-F238E27FC236}">
              <a16:creationId xmlns:a16="http://schemas.microsoft.com/office/drawing/2014/main" id="{DA8B5C7E-CC12-4505-BAC9-C94818EA8B2E}"/>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29" name="Shape 11">
          <a:extLst>
            <a:ext uri="{FF2B5EF4-FFF2-40B4-BE49-F238E27FC236}">
              <a16:creationId xmlns:a16="http://schemas.microsoft.com/office/drawing/2014/main" id="{D6B6A226-A7E5-401A-AF5B-BC273816DA3E}"/>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0" name="Shape 11">
          <a:extLst>
            <a:ext uri="{FF2B5EF4-FFF2-40B4-BE49-F238E27FC236}">
              <a16:creationId xmlns:a16="http://schemas.microsoft.com/office/drawing/2014/main" id="{EAA985E9-21CF-45A5-8F40-C56CF503C0CC}"/>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1" name="Shape 11">
          <a:extLst>
            <a:ext uri="{FF2B5EF4-FFF2-40B4-BE49-F238E27FC236}">
              <a16:creationId xmlns:a16="http://schemas.microsoft.com/office/drawing/2014/main" id="{0922188E-BF4F-48F2-9FC9-40E44AB5E3B5}"/>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2" name="Shape 11">
          <a:extLst>
            <a:ext uri="{FF2B5EF4-FFF2-40B4-BE49-F238E27FC236}">
              <a16:creationId xmlns:a16="http://schemas.microsoft.com/office/drawing/2014/main" id="{134A9383-8549-44FA-B1F4-132A7E4D54A3}"/>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3" name="Shape 11">
          <a:extLst>
            <a:ext uri="{FF2B5EF4-FFF2-40B4-BE49-F238E27FC236}">
              <a16:creationId xmlns:a16="http://schemas.microsoft.com/office/drawing/2014/main" id="{D9377E91-0254-468F-A945-B11787A975C5}"/>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34" name="Shape 10">
          <a:extLst>
            <a:ext uri="{FF2B5EF4-FFF2-40B4-BE49-F238E27FC236}">
              <a16:creationId xmlns:a16="http://schemas.microsoft.com/office/drawing/2014/main" id="{E1548AC9-0C75-4F62-A91A-9536A6A01F36}"/>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5" name="Shape 11">
          <a:extLst>
            <a:ext uri="{FF2B5EF4-FFF2-40B4-BE49-F238E27FC236}">
              <a16:creationId xmlns:a16="http://schemas.microsoft.com/office/drawing/2014/main" id="{9DE26D5F-A695-4BAC-92D6-4F468BD2EEA7}"/>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6" name="Shape 11">
          <a:extLst>
            <a:ext uri="{FF2B5EF4-FFF2-40B4-BE49-F238E27FC236}">
              <a16:creationId xmlns:a16="http://schemas.microsoft.com/office/drawing/2014/main" id="{2C68BBDE-7884-40E8-A10D-EBB32E9021EC}"/>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7" name="Shape 11">
          <a:extLst>
            <a:ext uri="{FF2B5EF4-FFF2-40B4-BE49-F238E27FC236}">
              <a16:creationId xmlns:a16="http://schemas.microsoft.com/office/drawing/2014/main" id="{BEEB4050-884A-4480-8A96-4E84CC023A83}"/>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8" name="Shape 11">
          <a:extLst>
            <a:ext uri="{FF2B5EF4-FFF2-40B4-BE49-F238E27FC236}">
              <a16:creationId xmlns:a16="http://schemas.microsoft.com/office/drawing/2014/main" id="{04ED158A-98EB-41CB-A348-ABE193C063D6}"/>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39" name="Shape 11">
          <a:extLst>
            <a:ext uri="{FF2B5EF4-FFF2-40B4-BE49-F238E27FC236}">
              <a16:creationId xmlns:a16="http://schemas.microsoft.com/office/drawing/2014/main" id="{A642A54A-0CD8-42BA-A0A9-E67631A2E31D}"/>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40" name="Shape 10">
          <a:extLst>
            <a:ext uri="{FF2B5EF4-FFF2-40B4-BE49-F238E27FC236}">
              <a16:creationId xmlns:a16="http://schemas.microsoft.com/office/drawing/2014/main" id="{BA4FC629-730B-40B0-9293-46AA176F1725}"/>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1" name="Shape 11">
          <a:extLst>
            <a:ext uri="{FF2B5EF4-FFF2-40B4-BE49-F238E27FC236}">
              <a16:creationId xmlns:a16="http://schemas.microsoft.com/office/drawing/2014/main" id="{DDB098EF-B024-4F05-AC89-BD8DB7BD6462}"/>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2" name="Shape 11">
          <a:extLst>
            <a:ext uri="{FF2B5EF4-FFF2-40B4-BE49-F238E27FC236}">
              <a16:creationId xmlns:a16="http://schemas.microsoft.com/office/drawing/2014/main" id="{6198B00A-9C68-415D-9A20-333BBFC0B167}"/>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3" name="Shape 11">
          <a:extLst>
            <a:ext uri="{FF2B5EF4-FFF2-40B4-BE49-F238E27FC236}">
              <a16:creationId xmlns:a16="http://schemas.microsoft.com/office/drawing/2014/main" id="{5997265F-BB64-4A07-BE99-37AC9D3F8264}"/>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4" name="Shape 11">
          <a:extLst>
            <a:ext uri="{FF2B5EF4-FFF2-40B4-BE49-F238E27FC236}">
              <a16:creationId xmlns:a16="http://schemas.microsoft.com/office/drawing/2014/main" id="{064DA257-2178-41F6-BFCE-782A451A15C8}"/>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5" name="Shape 11">
          <a:extLst>
            <a:ext uri="{FF2B5EF4-FFF2-40B4-BE49-F238E27FC236}">
              <a16:creationId xmlns:a16="http://schemas.microsoft.com/office/drawing/2014/main" id="{14259E84-47C3-4C60-931B-6F2C31D27ED2}"/>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46" name="Shape 10">
          <a:extLst>
            <a:ext uri="{FF2B5EF4-FFF2-40B4-BE49-F238E27FC236}">
              <a16:creationId xmlns:a16="http://schemas.microsoft.com/office/drawing/2014/main" id="{1CFBE251-F299-44C1-B83F-18CAE1BA6F7B}"/>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7" name="Shape 11">
          <a:extLst>
            <a:ext uri="{FF2B5EF4-FFF2-40B4-BE49-F238E27FC236}">
              <a16:creationId xmlns:a16="http://schemas.microsoft.com/office/drawing/2014/main" id="{ABACF79F-E8EF-4179-AEC3-60A4E1AA2A9C}"/>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8" name="Shape 11">
          <a:extLst>
            <a:ext uri="{FF2B5EF4-FFF2-40B4-BE49-F238E27FC236}">
              <a16:creationId xmlns:a16="http://schemas.microsoft.com/office/drawing/2014/main" id="{0326ED1F-8AD9-4AF0-B14D-277B69716982}"/>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49" name="Shape 11">
          <a:extLst>
            <a:ext uri="{FF2B5EF4-FFF2-40B4-BE49-F238E27FC236}">
              <a16:creationId xmlns:a16="http://schemas.microsoft.com/office/drawing/2014/main" id="{B3418FFA-8832-4B82-8B38-08274BFFC7EF}"/>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50" name="Shape 11">
          <a:extLst>
            <a:ext uri="{FF2B5EF4-FFF2-40B4-BE49-F238E27FC236}">
              <a16:creationId xmlns:a16="http://schemas.microsoft.com/office/drawing/2014/main" id="{4977D605-4A21-45A6-AA90-F39B53D945BB}"/>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51" name="Shape 11">
          <a:extLst>
            <a:ext uri="{FF2B5EF4-FFF2-40B4-BE49-F238E27FC236}">
              <a16:creationId xmlns:a16="http://schemas.microsoft.com/office/drawing/2014/main" id="{AE844788-0B3D-4837-AEC0-45C5186CC23A}"/>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52" name="Shape 10">
          <a:extLst>
            <a:ext uri="{FF2B5EF4-FFF2-40B4-BE49-F238E27FC236}">
              <a16:creationId xmlns:a16="http://schemas.microsoft.com/office/drawing/2014/main" id="{3D58E007-8780-4B4D-B211-DC66AAF1610F}"/>
            </a:ext>
          </a:extLst>
        </xdr:cNvPr>
        <xdr:cNvSpPr txBox="1"/>
      </xdr:nvSpPr>
      <xdr:spPr>
        <a:xfrm>
          <a:off x="5838825" y="110013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9550"/>
    <xdr:sp macro="" textlink="">
      <xdr:nvSpPr>
        <xdr:cNvPr id="453" name="Shape 11">
          <a:extLst>
            <a:ext uri="{FF2B5EF4-FFF2-40B4-BE49-F238E27FC236}">
              <a16:creationId xmlns:a16="http://schemas.microsoft.com/office/drawing/2014/main" id="{AAAC466B-36A4-4BFF-AE69-809A27A43688}"/>
            </a:ext>
          </a:extLst>
        </xdr:cNvPr>
        <xdr:cNvSpPr txBox="1"/>
      </xdr:nvSpPr>
      <xdr:spPr>
        <a:xfrm>
          <a:off x="5838825" y="11001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695</xdr:row>
      <xdr:rowOff>0</xdr:rowOff>
    </xdr:from>
    <xdr:ext cx="85725" cy="209550"/>
    <xdr:sp macro="" textlink="">
      <xdr:nvSpPr>
        <xdr:cNvPr id="454" name="Shape 11">
          <a:extLst>
            <a:ext uri="{FF2B5EF4-FFF2-40B4-BE49-F238E27FC236}">
              <a16:creationId xmlns:a16="http://schemas.microsoft.com/office/drawing/2014/main" id="{85F9D0C0-1838-4DF3-BC35-519A3C9B7587}"/>
            </a:ext>
          </a:extLst>
        </xdr:cNvPr>
        <xdr:cNvSpPr txBox="1"/>
      </xdr:nvSpPr>
      <xdr:spPr>
        <a:xfrm>
          <a:off x="5838825" y="11033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695</xdr:row>
      <xdr:rowOff>0</xdr:rowOff>
    </xdr:from>
    <xdr:ext cx="38100" cy="104775"/>
    <xdr:sp macro="" textlink="">
      <xdr:nvSpPr>
        <xdr:cNvPr id="455" name="Shape 12">
          <a:extLst>
            <a:ext uri="{FF2B5EF4-FFF2-40B4-BE49-F238E27FC236}">
              <a16:creationId xmlns:a16="http://schemas.microsoft.com/office/drawing/2014/main" id="{12E4B86D-B37B-4654-81E7-608EA5C99B34}"/>
            </a:ext>
          </a:extLst>
        </xdr:cNvPr>
        <xdr:cNvSpPr txBox="1"/>
      </xdr:nvSpPr>
      <xdr:spPr>
        <a:xfrm>
          <a:off x="0" y="1103312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0025"/>
    <xdr:sp macro="" textlink="">
      <xdr:nvSpPr>
        <xdr:cNvPr id="456" name="Shape 10">
          <a:extLst>
            <a:ext uri="{FF2B5EF4-FFF2-40B4-BE49-F238E27FC236}">
              <a16:creationId xmlns:a16="http://schemas.microsoft.com/office/drawing/2014/main" id="{73DB5AB1-E9C2-4D6C-8AA5-CD699D599513}"/>
            </a:ext>
          </a:extLst>
        </xdr:cNvPr>
        <xdr:cNvSpPr txBox="1"/>
      </xdr:nvSpPr>
      <xdr:spPr>
        <a:xfrm>
          <a:off x="5838825" y="110172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57" name="Shape 12">
          <a:extLst>
            <a:ext uri="{FF2B5EF4-FFF2-40B4-BE49-F238E27FC236}">
              <a16:creationId xmlns:a16="http://schemas.microsoft.com/office/drawing/2014/main" id="{212D4A52-A7DF-480E-B9A4-C981DFA8A2A9}"/>
            </a:ext>
          </a:extLst>
        </xdr:cNvPr>
        <xdr:cNvSpPr txBox="1"/>
      </xdr:nvSpPr>
      <xdr:spPr>
        <a:xfrm>
          <a:off x="0" y="1101725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58" name="Shape 11">
          <a:extLst>
            <a:ext uri="{FF2B5EF4-FFF2-40B4-BE49-F238E27FC236}">
              <a16:creationId xmlns:a16="http://schemas.microsoft.com/office/drawing/2014/main" id="{E28EE1DD-F17B-49A2-8FBF-07716CEBC4DD}"/>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9" name="Shape 10">
          <a:extLst>
            <a:ext uri="{FF2B5EF4-FFF2-40B4-BE49-F238E27FC236}">
              <a16:creationId xmlns:a16="http://schemas.microsoft.com/office/drawing/2014/main" id="{9BA82AC3-A940-419B-A1F1-DB9D1EB26773}"/>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0" name="Shape 11">
          <a:extLst>
            <a:ext uri="{FF2B5EF4-FFF2-40B4-BE49-F238E27FC236}">
              <a16:creationId xmlns:a16="http://schemas.microsoft.com/office/drawing/2014/main" id="{884E3CA6-711A-4B41-BD09-B8F1A576578F}"/>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1" name="Shape 11">
          <a:extLst>
            <a:ext uri="{FF2B5EF4-FFF2-40B4-BE49-F238E27FC236}">
              <a16:creationId xmlns:a16="http://schemas.microsoft.com/office/drawing/2014/main" id="{AC1690D0-E671-4363-A234-71C325700B8D}"/>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2" name="Shape 11">
          <a:extLst>
            <a:ext uri="{FF2B5EF4-FFF2-40B4-BE49-F238E27FC236}">
              <a16:creationId xmlns:a16="http://schemas.microsoft.com/office/drawing/2014/main" id="{45DF222B-B28B-4192-982A-CC79F96AECE7}"/>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3" name="Shape 11">
          <a:extLst>
            <a:ext uri="{FF2B5EF4-FFF2-40B4-BE49-F238E27FC236}">
              <a16:creationId xmlns:a16="http://schemas.microsoft.com/office/drawing/2014/main" id="{08B47EDA-C852-46E0-9F6A-CDD535EFC365}"/>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4" name="Shape 11">
          <a:extLst>
            <a:ext uri="{FF2B5EF4-FFF2-40B4-BE49-F238E27FC236}">
              <a16:creationId xmlns:a16="http://schemas.microsoft.com/office/drawing/2014/main" id="{F272F25F-F20B-41CD-8064-60FD20A7043E}"/>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65" name="Shape 10">
          <a:extLst>
            <a:ext uri="{FF2B5EF4-FFF2-40B4-BE49-F238E27FC236}">
              <a16:creationId xmlns:a16="http://schemas.microsoft.com/office/drawing/2014/main" id="{D5FE7D8A-4373-47DD-A5FB-89A5549F0989}"/>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6" name="Shape 11">
          <a:extLst>
            <a:ext uri="{FF2B5EF4-FFF2-40B4-BE49-F238E27FC236}">
              <a16:creationId xmlns:a16="http://schemas.microsoft.com/office/drawing/2014/main" id="{828AE495-621D-497B-9068-C5BDCDABC39E}"/>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7" name="Shape 11">
          <a:extLst>
            <a:ext uri="{FF2B5EF4-FFF2-40B4-BE49-F238E27FC236}">
              <a16:creationId xmlns:a16="http://schemas.microsoft.com/office/drawing/2014/main" id="{31F4BBAB-63D8-45E7-A45E-E2FA0DB05F5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8" name="Shape 11">
          <a:extLst>
            <a:ext uri="{FF2B5EF4-FFF2-40B4-BE49-F238E27FC236}">
              <a16:creationId xmlns:a16="http://schemas.microsoft.com/office/drawing/2014/main" id="{62D6D8BC-9DA1-4B82-B0B0-C9E85327CFEE}"/>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69" name="Shape 11">
          <a:extLst>
            <a:ext uri="{FF2B5EF4-FFF2-40B4-BE49-F238E27FC236}">
              <a16:creationId xmlns:a16="http://schemas.microsoft.com/office/drawing/2014/main" id="{0108F762-DBFE-44F0-9051-AD9DF0B4938D}"/>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0" name="Shape 11">
          <a:extLst>
            <a:ext uri="{FF2B5EF4-FFF2-40B4-BE49-F238E27FC236}">
              <a16:creationId xmlns:a16="http://schemas.microsoft.com/office/drawing/2014/main" id="{3D79F72D-900B-42E7-9176-2CDEFBBC7E9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71" name="Shape 10">
          <a:extLst>
            <a:ext uri="{FF2B5EF4-FFF2-40B4-BE49-F238E27FC236}">
              <a16:creationId xmlns:a16="http://schemas.microsoft.com/office/drawing/2014/main" id="{A6ABA42E-675C-4F6E-846C-759E15C76E05}"/>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2" name="Shape 11">
          <a:extLst>
            <a:ext uri="{FF2B5EF4-FFF2-40B4-BE49-F238E27FC236}">
              <a16:creationId xmlns:a16="http://schemas.microsoft.com/office/drawing/2014/main" id="{28B67DCC-3A63-468B-8793-5A6E44E90F4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3" name="Shape 11">
          <a:extLst>
            <a:ext uri="{FF2B5EF4-FFF2-40B4-BE49-F238E27FC236}">
              <a16:creationId xmlns:a16="http://schemas.microsoft.com/office/drawing/2014/main" id="{41E8F795-BDDA-44D2-9030-A1F99D443893}"/>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4" name="Shape 11">
          <a:extLst>
            <a:ext uri="{FF2B5EF4-FFF2-40B4-BE49-F238E27FC236}">
              <a16:creationId xmlns:a16="http://schemas.microsoft.com/office/drawing/2014/main" id="{A7DC1532-865D-4DD3-AD22-889E3C6CA48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5" name="Shape 11">
          <a:extLst>
            <a:ext uri="{FF2B5EF4-FFF2-40B4-BE49-F238E27FC236}">
              <a16:creationId xmlns:a16="http://schemas.microsoft.com/office/drawing/2014/main" id="{72E732D7-626F-44AD-B408-9EAC32238FB7}"/>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6" name="Shape 11">
          <a:extLst>
            <a:ext uri="{FF2B5EF4-FFF2-40B4-BE49-F238E27FC236}">
              <a16:creationId xmlns:a16="http://schemas.microsoft.com/office/drawing/2014/main" id="{33D47610-A546-4637-A932-1933FBD2455C}"/>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77" name="Shape 10">
          <a:extLst>
            <a:ext uri="{FF2B5EF4-FFF2-40B4-BE49-F238E27FC236}">
              <a16:creationId xmlns:a16="http://schemas.microsoft.com/office/drawing/2014/main" id="{DF10B867-7094-4D38-AC5E-D7C947BDD1A6}"/>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8" name="Shape 11">
          <a:extLst>
            <a:ext uri="{FF2B5EF4-FFF2-40B4-BE49-F238E27FC236}">
              <a16:creationId xmlns:a16="http://schemas.microsoft.com/office/drawing/2014/main" id="{5369B5DD-90E5-4290-B9C9-7616EFB4D1E7}"/>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79" name="Shape 11">
          <a:extLst>
            <a:ext uri="{FF2B5EF4-FFF2-40B4-BE49-F238E27FC236}">
              <a16:creationId xmlns:a16="http://schemas.microsoft.com/office/drawing/2014/main" id="{B5AF2CE1-9492-41BE-BAAC-8885DAF275F9}"/>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0" name="Shape 11">
          <a:extLst>
            <a:ext uri="{FF2B5EF4-FFF2-40B4-BE49-F238E27FC236}">
              <a16:creationId xmlns:a16="http://schemas.microsoft.com/office/drawing/2014/main" id="{73B939A2-DB3C-4397-A030-625256612A73}"/>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1" name="Shape 11">
          <a:extLst>
            <a:ext uri="{FF2B5EF4-FFF2-40B4-BE49-F238E27FC236}">
              <a16:creationId xmlns:a16="http://schemas.microsoft.com/office/drawing/2014/main" id="{5F002699-486B-46BE-B8ED-289E909DC855}"/>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2" name="Shape 11">
          <a:extLst>
            <a:ext uri="{FF2B5EF4-FFF2-40B4-BE49-F238E27FC236}">
              <a16:creationId xmlns:a16="http://schemas.microsoft.com/office/drawing/2014/main" id="{15EB1418-7D51-4EA6-BE4F-B781169E9BDA}"/>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83" name="Shape 10">
          <a:extLst>
            <a:ext uri="{FF2B5EF4-FFF2-40B4-BE49-F238E27FC236}">
              <a16:creationId xmlns:a16="http://schemas.microsoft.com/office/drawing/2014/main" id="{1BD5356F-C29D-4CCC-AD36-A62B142AC3A3}"/>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4" name="Shape 11">
          <a:extLst>
            <a:ext uri="{FF2B5EF4-FFF2-40B4-BE49-F238E27FC236}">
              <a16:creationId xmlns:a16="http://schemas.microsoft.com/office/drawing/2014/main" id="{D74420AF-E5BB-4901-B899-9A95B727EDE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5" name="Shape 11">
          <a:extLst>
            <a:ext uri="{FF2B5EF4-FFF2-40B4-BE49-F238E27FC236}">
              <a16:creationId xmlns:a16="http://schemas.microsoft.com/office/drawing/2014/main" id="{2E021AF0-F96C-40D6-9A0A-8320847724B0}"/>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6" name="Shape 11">
          <a:extLst>
            <a:ext uri="{FF2B5EF4-FFF2-40B4-BE49-F238E27FC236}">
              <a16:creationId xmlns:a16="http://schemas.microsoft.com/office/drawing/2014/main" id="{47782866-5EA1-4ED1-B63A-EEC83E5B3BB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7" name="Shape 11">
          <a:extLst>
            <a:ext uri="{FF2B5EF4-FFF2-40B4-BE49-F238E27FC236}">
              <a16:creationId xmlns:a16="http://schemas.microsoft.com/office/drawing/2014/main" id="{4F66B6A2-9B78-46F1-90F5-747414BD1CD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88" name="Shape 11">
          <a:extLst>
            <a:ext uri="{FF2B5EF4-FFF2-40B4-BE49-F238E27FC236}">
              <a16:creationId xmlns:a16="http://schemas.microsoft.com/office/drawing/2014/main" id="{B26CAE01-C2D2-4BC2-85DC-F9AA0135E32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89" name="Shape 10">
          <a:extLst>
            <a:ext uri="{FF2B5EF4-FFF2-40B4-BE49-F238E27FC236}">
              <a16:creationId xmlns:a16="http://schemas.microsoft.com/office/drawing/2014/main" id="{F92B4230-EE57-4BF7-8D7A-2946B135ADEA}"/>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0" name="Shape 11">
          <a:extLst>
            <a:ext uri="{FF2B5EF4-FFF2-40B4-BE49-F238E27FC236}">
              <a16:creationId xmlns:a16="http://schemas.microsoft.com/office/drawing/2014/main" id="{85ED0178-0F8D-44E0-9AE0-2658F23ED35C}"/>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1" name="Shape 11">
          <a:extLst>
            <a:ext uri="{FF2B5EF4-FFF2-40B4-BE49-F238E27FC236}">
              <a16:creationId xmlns:a16="http://schemas.microsoft.com/office/drawing/2014/main" id="{42F54A12-9CA5-4014-9088-0816BC12B7E4}"/>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2" name="Shape 11">
          <a:extLst>
            <a:ext uri="{FF2B5EF4-FFF2-40B4-BE49-F238E27FC236}">
              <a16:creationId xmlns:a16="http://schemas.microsoft.com/office/drawing/2014/main" id="{0E1DE714-09DE-47A8-BF4C-620BFA8C3B47}"/>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3" name="Shape 11">
          <a:extLst>
            <a:ext uri="{FF2B5EF4-FFF2-40B4-BE49-F238E27FC236}">
              <a16:creationId xmlns:a16="http://schemas.microsoft.com/office/drawing/2014/main" id="{FBF77606-A9CF-42E9-A56F-E618BAE01913}"/>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4" name="Shape 11">
          <a:extLst>
            <a:ext uri="{FF2B5EF4-FFF2-40B4-BE49-F238E27FC236}">
              <a16:creationId xmlns:a16="http://schemas.microsoft.com/office/drawing/2014/main" id="{91DC41B7-1B7E-4A30-9BEB-A97A7087673D}"/>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95" name="Shape 10">
          <a:extLst>
            <a:ext uri="{FF2B5EF4-FFF2-40B4-BE49-F238E27FC236}">
              <a16:creationId xmlns:a16="http://schemas.microsoft.com/office/drawing/2014/main" id="{B2BA56FC-9FF7-422A-9E46-6CD00CC70DDC}"/>
            </a:ext>
          </a:extLst>
        </xdr:cNvPr>
        <xdr:cNvSpPr txBox="1"/>
      </xdr:nvSpPr>
      <xdr:spPr>
        <a:xfrm>
          <a:off x="5838825" y="119221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9550"/>
    <xdr:sp macro="" textlink="">
      <xdr:nvSpPr>
        <xdr:cNvPr id="496" name="Shape 11">
          <a:extLst>
            <a:ext uri="{FF2B5EF4-FFF2-40B4-BE49-F238E27FC236}">
              <a16:creationId xmlns:a16="http://schemas.microsoft.com/office/drawing/2014/main" id="{3AEC4484-D999-4F1C-94AF-036AB9927422}"/>
            </a:ext>
          </a:extLst>
        </xdr:cNvPr>
        <xdr:cNvSpPr txBox="1"/>
      </xdr:nvSpPr>
      <xdr:spPr>
        <a:xfrm>
          <a:off x="5838825" y="119221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753</xdr:row>
      <xdr:rowOff>0</xdr:rowOff>
    </xdr:from>
    <xdr:ext cx="85725" cy="209550"/>
    <xdr:sp macro="" textlink="">
      <xdr:nvSpPr>
        <xdr:cNvPr id="497" name="Shape 11">
          <a:extLst>
            <a:ext uri="{FF2B5EF4-FFF2-40B4-BE49-F238E27FC236}">
              <a16:creationId xmlns:a16="http://schemas.microsoft.com/office/drawing/2014/main" id="{41EAEA35-0FBE-42DC-A0A6-5821FC217138}"/>
            </a:ext>
          </a:extLst>
        </xdr:cNvPr>
        <xdr:cNvSpPr txBox="1"/>
      </xdr:nvSpPr>
      <xdr:spPr>
        <a:xfrm>
          <a:off x="5838825" y="11953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753</xdr:row>
      <xdr:rowOff>0</xdr:rowOff>
    </xdr:from>
    <xdr:ext cx="38100" cy="104775"/>
    <xdr:sp macro="" textlink="">
      <xdr:nvSpPr>
        <xdr:cNvPr id="498" name="Shape 12">
          <a:extLst>
            <a:ext uri="{FF2B5EF4-FFF2-40B4-BE49-F238E27FC236}">
              <a16:creationId xmlns:a16="http://schemas.microsoft.com/office/drawing/2014/main" id="{FD62380F-5F0F-4E5B-A729-CF9C943F92EC}"/>
            </a:ext>
          </a:extLst>
        </xdr:cNvPr>
        <xdr:cNvSpPr txBox="1"/>
      </xdr:nvSpPr>
      <xdr:spPr>
        <a:xfrm>
          <a:off x="0" y="119538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0025"/>
    <xdr:sp macro="" textlink="">
      <xdr:nvSpPr>
        <xdr:cNvPr id="499" name="Shape 10">
          <a:extLst>
            <a:ext uri="{FF2B5EF4-FFF2-40B4-BE49-F238E27FC236}">
              <a16:creationId xmlns:a16="http://schemas.microsoft.com/office/drawing/2014/main" id="{3EEE7D06-792E-4FB4-91E4-BAEEFADF5E54}"/>
            </a:ext>
          </a:extLst>
        </xdr:cNvPr>
        <xdr:cNvSpPr txBox="1"/>
      </xdr:nvSpPr>
      <xdr:spPr>
        <a:xfrm>
          <a:off x="5838825" y="119380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500" name="Shape 12">
          <a:extLst>
            <a:ext uri="{FF2B5EF4-FFF2-40B4-BE49-F238E27FC236}">
              <a16:creationId xmlns:a16="http://schemas.microsoft.com/office/drawing/2014/main" id="{89FBB825-A8F1-46D0-B867-F3FA92A95268}"/>
            </a:ext>
          </a:extLst>
        </xdr:cNvPr>
        <xdr:cNvSpPr txBox="1"/>
      </xdr:nvSpPr>
      <xdr:spPr>
        <a:xfrm>
          <a:off x="0" y="1193800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1" name="Shape 11">
          <a:extLst>
            <a:ext uri="{FF2B5EF4-FFF2-40B4-BE49-F238E27FC236}">
              <a16:creationId xmlns:a16="http://schemas.microsoft.com/office/drawing/2014/main" id="{6073F8BE-717A-476A-861D-D52066872505}"/>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02" name="Shape 10">
          <a:extLst>
            <a:ext uri="{FF2B5EF4-FFF2-40B4-BE49-F238E27FC236}">
              <a16:creationId xmlns:a16="http://schemas.microsoft.com/office/drawing/2014/main" id="{6F4A6CB2-E7B3-49CC-ABAD-C45B4EA0FFE4}"/>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3" name="Shape 11">
          <a:extLst>
            <a:ext uri="{FF2B5EF4-FFF2-40B4-BE49-F238E27FC236}">
              <a16:creationId xmlns:a16="http://schemas.microsoft.com/office/drawing/2014/main" id="{52DF1BD4-D7BF-4628-A2E3-7E2AFD6D70A9}"/>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4" name="Shape 11">
          <a:extLst>
            <a:ext uri="{FF2B5EF4-FFF2-40B4-BE49-F238E27FC236}">
              <a16:creationId xmlns:a16="http://schemas.microsoft.com/office/drawing/2014/main" id="{37BD3A56-DF54-4C52-AAA1-0CCA9E8856E0}"/>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5" name="Shape 11">
          <a:extLst>
            <a:ext uri="{FF2B5EF4-FFF2-40B4-BE49-F238E27FC236}">
              <a16:creationId xmlns:a16="http://schemas.microsoft.com/office/drawing/2014/main" id="{0D90660C-656B-4BC5-91F9-BC2B42B74AF7}"/>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6" name="Shape 11">
          <a:extLst>
            <a:ext uri="{FF2B5EF4-FFF2-40B4-BE49-F238E27FC236}">
              <a16:creationId xmlns:a16="http://schemas.microsoft.com/office/drawing/2014/main" id="{DF75AA4A-E578-4FA6-9990-71AECB44EDCB}"/>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7" name="Shape 11">
          <a:extLst>
            <a:ext uri="{FF2B5EF4-FFF2-40B4-BE49-F238E27FC236}">
              <a16:creationId xmlns:a16="http://schemas.microsoft.com/office/drawing/2014/main" id="{F07107D5-010F-4E91-A92B-2C166B1E9FD1}"/>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08" name="Shape 10">
          <a:extLst>
            <a:ext uri="{FF2B5EF4-FFF2-40B4-BE49-F238E27FC236}">
              <a16:creationId xmlns:a16="http://schemas.microsoft.com/office/drawing/2014/main" id="{BF79DA0B-DA71-4711-95D0-13940A54ED59}"/>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09" name="Shape 11">
          <a:extLst>
            <a:ext uri="{FF2B5EF4-FFF2-40B4-BE49-F238E27FC236}">
              <a16:creationId xmlns:a16="http://schemas.microsoft.com/office/drawing/2014/main" id="{8AE02049-46D1-466C-8CBD-C0304580062A}"/>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0" name="Shape 11">
          <a:extLst>
            <a:ext uri="{FF2B5EF4-FFF2-40B4-BE49-F238E27FC236}">
              <a16:creationId xmlns:a16="http://schemas.microsoft.com/office/drawing/2014/main" id="{046DA309-BA29-4949-BF32-24FBBA623EE9}"/>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1" name="Shape 11">
          <a:extLst>
            <a:ext uri="{FF2B5EF4-FFF2-40B4-BE49-F238E27FC236}">
              <a16:creationId xmlns:a16="http://schemas.microsoft.com/office/drawing/2014/main" id="{3D0845B3-4ABD-469A-9FE9-1B00F7A5CF62}"/>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2" name="Shape 11">
          <a:extLst>
            <a:ext uri="{FF2B5EF4-FFF2-40B4-BE49-F238E27FC236}">
              <a16:creationId xmlns:a16="http://schemas.microsoft.com/office/drawing/2014/main" id="{C197335F-89E4-4EBF-B11E-81E61ED38AA0}"/>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3" name="Shape 11">
          <a:extLst>
            <a:ext uri="{FF2B5EF4-FFF2-40B4-BE49-F238E27FC236}">
              <a16:creationId xmlns:a16="http://schemas.microsoft.com/office/drawing/2014/main" id="{23BCEA47-0C43-4023-80A0-2D2939187985}"/>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14" name="Shape 10">
          <a:extLst>
            <a:ext uri="{FF2B5EF4-FFF2-40B4-BE49-F238E27FC236}">
              <a16:creationId xmlns:a16="http://schemas.microsoft.com/office/drawing/2014/main" id="{D74BB0FF-273F-423A-8EBC-5405D2157607}"/>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5" name="Shape 11">
          <a:extLst>
            <a:ext uri="{FF2B5EF4-FFF2-40B4-BE49-F238E27FC236}">
              <a16:creationId xmlns:a16="http://schemas.microsoft.com/office/drawing/2014/main" id="{58419F46-784D-4D20-ADDD-73B9E3C44F65}"/>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6" name="Shape 11">
          <a:extLst>
            <a:ext uri="{FF2B5EF4-FFF2-40B4-BE49-F238E27FC236}">
              <a16:creationId xmlns:a16="http://schemas.microsoft.com/office/drawing/2014/main" id="{0F7485F2-F3CE-4680-A40E-52B0CB58734A}"/>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7" name="Shape 11">
          <a:extLst>
            <a:ext uri="{FF2B5EF4-FFF2-40B4-BE49-F238E27FC236}">
              <a16:creationId xmlns:a16="http://schemas.microsoft.com/office/drawing/2014/main" id="{0288380D-A334-431F-8B2C-3B6968E43B40}"/>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8" name="Shape 11">
          <a:extLst>
            <a:ext uri="{FF2B5EF4-FFF2-40B4-BE49-F238E27FC236}">
              <a16:creationId xmlns:a16="http://schemas.microsoft.com/office/drawing/2014/main" id="{6C97246C-91C2-4646-9A6B-4EF6AB8F3D20}"/>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19" name="Shape 11">
          <a:extLst>
            <a:ext uri="{FF2B5EF4-FFF2-40B4-BE49-F238E27FC236}">
              <a16:creationId xmlns:a16="http://schemas.microsoft.com/office/drawing/2014/main" id="{98B8E57A-8334-4040-9092-DF30BA3CE5C2}"/>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20" name="Shape 10">
          <a:extLst>
            <a:ext uri="{FF2B5EF4-FFF2-40B4-BE49-F238E27FC236}">
              <a16:creationId xmlns:a16="http://schemas.microsoft.com/office/drawing/2014/main" id="{5298A0DE-C8B9-4CB7-94AE-49487F653409}"/>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1" name="Shape 11">
          <a:extLst>
            <a:ext uri="{FF2B5EF4-FFF2-40B4-BE49-F238E27FC236}">
              <a16:creationId xmlns:a16="http://schemas.microsoft.com/office/drawing/2014/main" id="{85351696-AC72-4369-AEFB-2C97C0939A0B}"/>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2" name="Shape 11">
          <a:extLst>
            <a:ext uri="{FF2B5EF4-FFF2-40B4-BE49-F238E27FC236}">
              <a16:creationId xmlns:a16="http://schemas.microsoft.com/office/drawing/2014/main" id="{43E0D91A-EAD3-47B6-88BA-57352B2C9F29}"/>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3" name="Shape 11">
          <a:extLst>
            <a:ext uri="{FF2B5EF4-FFF2-40B4-BE49-F238E27FC236}">
              <a16:creationId xmlns:a16="http://schemas.microsoft.com/office/drawing/2014/main" id="{AD9A5903-0E62-4A1D-9CC5-F3087D45FFFE}"/>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4" name="Shape 11">
          <a:extLst>
            <a:ext uri="{FF2B5EF4-FFF2-40B4-BE49-F238E27FC236}">
              <a16:creationId xmlns:a16="http://schemas.microsoft.com/office/drawing/2014/main" id="{1E565A7D-DBDB-4C80-982D-1781B113D762}"/>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5" name="Shape 11">
          <a:extLst>
            <a:ext uri="{FF2B5EF4-FFF2-40B4-BE49-F238E27FC236}">
              <a16:creationId xmlns:a16="http://schemas.microsoft.com/office/drawing/2014/main" id="{F5DD08A7-CAE4-4AA8-8B4F-8DF15ECF5153}"/>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26" name="Shape 10">
          <a:extLst>
            <a:ext uri="{FF2B5EF4-FFF2-40B4-BE49-F238E27FC236}">
              <a16:creationId xmlns:a16="http://schemas.microsoft.com/office/drawing/2014/main" id="{68CB22B9-C864-44B0-85FD-D1D1CF0D4621}"/>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7" name="Shape 11">
          <a:extLst>
            <a:ext uri="{FF2B5EF4-FFF2-40B4-BE49-F238E27FC236}">
              <a16:creationId xmlns:a16="http://schemas.microsoft.com/office/drawing/2014/main" id="{44BA2E13-FB67-434D-A418-4FFC313FA6A3}"/>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8" name="Shape 11">
          <a:extLst>
            <a:ext uri="{FF2B5EF4-FFF2-40B4-BE49-F238E27FC236}">
              <a16:creationId xmlns:a16="http://schemas.microsoft.com/office/drawing/2014/main" id="{E14DFDBA-78B8-4EE7-AE5F-AA4E5D8C2691}"/>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29" name="Shape 11">
          <a:extLst>
            <a:ext uri="{FF2B5EF4-FFF2-40B4-BE49-F238E27FC236}">
              <a16:creationId xmlns:a16="http://schemas.microsoft.com/office/drawing/2014/main" id="{026EAA0D-F303-47B1-8136-35F8636C4FD8}"/>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0" name="Shape 11">
          <a:extLst>
            <a:ext uri="{FF2B5EF4-FFF2-40B4-BE49-F238E27FC236}">
              <a16:creationId xmlns:a16="http://schemas.microsoft.com/office/drawing/2014/main" id="{B150DB04-A459-45CE-A025-BE59A788E18B}"/>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1" name="Shape 11">
          <a:extLst>
            <a:ext uri="{FF2B5EF4-FFF2-40B4-BE49-F238E27FC236}">
              <a16:creationId xmlns:a16="http://schemas.microsoft.com/office/drawing/2014/main" id="{F1016ED4-B1D5-4831-83DC-E13109F89AD8}"/>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32" name="Shape 10">
          <a:extLst>
            <a:ext uri="{FF2B5EF4-FFF2-40B4-BE49-F238E27FC236}">
              <a16:creationId xmlns:a16="http://schemas.microsoft.com/office/drawing/2014/main" id="{6C287D31-2623-4D92-B378-7D4429CA2D10}"/>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3" name="Shape 11">
          <a:extLst>
            <a:ext uri="{FF2B5EF4-FFF2-40B4-BE49-F238E27FC236}">
              <a16:creationId xmlns:a16="http://schemas.microsoft.com/office/drawing/2014/main" id="{E12126FB-9CBD-4A50-9C09-1476349C5F9E}"/>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4" name="Shape 11">
          <a:extLst>
            <a:ext uri="{FF2B5EF4-FFF2-40B4-BE49-F238E27FC236}">
              <a16:creationId xmlns:a16="http://schemas.microsoft.com/office/drawing/2014/main" id="{E25D355E-B86F-471A-9B57-A3991DF51F26}"/>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5" name="Shape 11">
          <a:extLst>
            <a:ext uri="{FF2B5EF4-FFF2-40B4-BE49-F238E27FC236}">
              <a16:creationId xmlns:a16="http://schemas.microsoft.com/office/drawing/2014/main" id="{511CAFA8-0084-4078-ADE4-18BBFEC793FE}"/>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6" name="Shape 11">
          <a:extLst>
            <a:ext uri="{FF2B5EF4-FFF2-40B4-BE49-F238E27FC236}">
              <a16:creationId xmlns:a16="http://schemas.microsoft.com/office/drawing/2014/main" id="{3018C190-F934-468C-80DF-902073170DF7}"/>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7" name="Shape 11">
          <a:extLst>
            <a:ext uri="{FF2B5EF4-FFF2-40B4-BE49-F238E27FC236}">
              <a16:creationId xmlns:a16="http://schemas.microsoft.com/office/drawing/2014/main" id="{B9E3B16E-5E8A-4AC9-A579-EBA65B3BA3D4}"/>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538" name="Shape 10">
          <a:extLst>
            <a:ext uri="{FF2B5EF4-FFF2-40B4-BE49-F238E27FC236}">
              <a16:creationId xmlns:a16="http://schemas.microsoft.com/office/drawing/2014/main" id="{830CAC35-1677-4928-8E8F-252F351B515D}"/>
            </a:ext>
          </a:extLst>
        </xdr:cNvPr>
        <xdr:cNvSpPr txBox="1"/>
      </xdr:nvSpPr>
      <xdr:spPr>
        <a:xfrm>
          <a:off x="5838825" y="128428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9550"/>
    <xdr:sp macro="" textlink="">
      <xdr:nvSpPr>
        <xdr:cNvPr id="539" name="Shape 11">
          <a:extLst>
            <a:ext uri="{FF2B5EF4-FFF2-40B4-BE49-F238E27FC236}">
              <a16:creationId xmlns:a16="http://schemas.microsoft.com/office/drawing/2014/main" id="{890C5477-2D8E-451C-A128-E3ED87F120B9}"/>
            </a:ext>
          </a:extLst>
        </xdr:cNvPr>
        <xdr:cNvSpPr txBox="1"/>
      </xdr:nvSpPr>
      <xdr:spPr>
        <a:xfrm>
          <a:off x="5838825" y="128428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811</xdr:row>
      <xdr:rowOff>0</xdr:rowOff>
    </xdr:from>
    <xdr:ext cx="85725" cy="209550"/>
    <xdr:sp macro="" textlink="">
      <xdr:nvSpPr>
        <xdr:cNvPr id="540" name="Shape 11">
          <a:extLst>
            <a:ext uri="{FF2B5EF4-FFF2-40B4-BE49-F238E27FC236}">
              <a16:creationId xmlns:a16="http://schemas.microsoft.com/office/drawing/2014/main" id="{EA767ADD-0286-47C3-9206-EFF2289EE3EF}"/>
            </a:ext>
          </a:extLst>
        </xdr:cNvPr>
        <xdr:cNvSpPr txBox="1"/>
      </xdr:nvSpPr>
      <xdr:spPr>
        <a:xfrm>
          <a:off x="5838825" y="12874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811</xdr:row>
      <xdr:rowOff>0</xdr:rowOff>
    </xdr:from>
    <xdr:ext cx="38100" cy="104775"/>
    <xdr:sp macro="" textlink="">
      <xdr:nvSpPr>
        <xdr:cNvPr id="541" name="Shape 12">
          <a:extLst>
            <a:ext uri="{FF2B5EF4-FFF2-40B4-BE49-F238E27FC236}">
              <a16:creationId xmlns:a16="http://schemas.microsoft.com/office/drawing/2014/main" id="{D88003F3-5300-4F9A-90C6-2B4E01D1474B}"/>
            </a:ext>
          </a:extLst>
        </xdr:cNvPr>
        <xdr:cNvSpPr txBox="1"/>
      </xdr:nvSpPr>
      <xdr:spPr>
        <a:xfrm>
          <a:off x="0" y="1287462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0025"/>
    <xdr:sp macro="" textlink="">
      <xdr:nvSpPr>
        <xdr:cNvPr id="542" name="Shape 10">
          <a:extLst>
            <a:ext uri="{FF2B5EF4-FFF2-40B4-BE49-F238E27FC236}">
              <a16:creationId xmlns:a16="http://schemas.microsoft.com/office/drawing/2014/main" id="{DADC0A26-33A6-4A25-BF63-FAADF10D515A}"/>
            </a:ext>
          </a:extLst>
        </xdr:cNvPr>
        <xdr:cNvSpPr txBox="1"/>
      </xdr:nvSpPr>
      <xdr:spPr>
        <a:xfrm>
          <a:off x="5838825" y="128587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543" name="Shape 12">
          <a:extLst>
            <a:ext uri="{FF2B5EF4-FFF2-40B4-BE49-F238E27FC236}">
              <a16:creationId xmlns:a16="http://schemas.microsoft.com/office/drawing/2014/main" id="{DC10C529-FB27-4370-91E5-A86A7222747A}"/>
            </a:ext>
          </a:extLst>
        </xdr:cNvPr>
        <xdr:cNvSpPr txBox="1"/>
      </xdr:nvSpPr>
      <xdr:spPr>
        <a:xfrm>
          <a:off x="0" y="1285875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44" name="Shape 11">
          <a:extLst>
            <a:ext uri="{FF2B5EF4-FFF2-40B4-BE49-F238E27FC236}">
              <a16:creationId xmlns:a16="http://schemas.microsoft.com/office/drawing/2014/main" id="{3CFEEEDE-6369-4B08-A453-AD3E5D45EA6A}"/>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5" name="Shape 10">
          <a:extLst>
            <a:ext uri="{FF2B5EF4-FFF2-40B4-BE49-F238E27FC236}">
              <a16:creationId xmlns:a16="http://schemas.microsoft.com/office/drawing/2014/main" id="{D85BDAFF-ADDA-40F8-8BFE-21777DAF899F}"/>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46" name="Shape 11">
          <a:extLst>
            <a:ext uri="{FF2B5EF4-FFF2-40B4-BE49-F238E27FC236}">
              <a16:creationId xmlns:a16="http://schemas.microsoft.com/office/drawing/2014/main" id="{4DF30041-3BC3-4FB2-81A6-0F0C0280121A}"/>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47" name="Shape 11">
          <a:extLst>
            <a:ext uri="{FF2B5EF4-FFF2-40B4-BE49-F238E27FC236}">
              <a16:creationId xmlns:a16="http://schemas.microsoft.com/office/drawing/2014/main" id="{7AFE12F9-CC8D-4E32-8881-4A138C8C630A}"/>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48" name="Shape 11">
          <a:extLst>
            <a:ext uri="{FF2B5EF4-FFF2-40B4-BE49-F238E27FC236}">
              <a16:creationId xmlns:a16="http://schemas.microsoft.com/office/drawing/2014/main" id="{BC2D781C-4CA5-43BA-AD3E-B238D0F270E2}"/>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49" name="Shape 11">
          <a:extLst>
            <a:ext uri="{FF2B5EF4-FFF2-40B4-BE49-F238E27FC236}">
              <a16:creationId xmlns:a16="http://schemas.microsoft.com/office/drawing/2014/main" id="{FDEFB0EE-998D-4F5D-B128-AB1830955A38}"/>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0" name="Shape 11">
          <a:extLst>
            <a:ext uri="{FF2B5EF4-FFF2-40B4-BE49-F238E27FC236}">
              <a16:creationId xmlns:a16="http://schemas.microsoft.com/office/drawing/2014/main" id="{1BA0EE8B-AB86-43EA-9F08-3AB79D5EC508}"/>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51" name="Shape 10">
          <a:extLst>
            <a:ext uri="{FF2B5EF4-FFF2-40B4-BE49-F238E27FC236}">
              <a16:creationId xmlns:a16="http://schemas.microsoft.com/office/drawing/2014/main" id="{D801BD03-AA12-4485-81C1-825D22755BA3}"/>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2" name="Shape 11">
          <a:extLst>
            <a:ext uri="{FF2B5EF4-FFF2-40B4-BE49-F238E27FC236}">
              <a16:creationId xmlns:a16="http://schemas.microsoft.com/office/drawing/2014/main" id="{A94037B2-A27D-4E8C-968E-928BAB2B139B}"/>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3" name="Shape 11">
          <a:extLst>
            <a:ext uri="{FF2B5EF4-FFF2-40B4-BE49-F238E27FC236}">
              <a16:creationId xmlns:a16="http://schemas.microsoft.com/office/drawing/2014/main" id="{660AFA43-5ACF-43D4-A31D-C843C4F2FB02}"/>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4" name="Shape 11">
          <a:extLst>
            <a:ext uri="{FF2B5EF4-FFF2-40B4-BE49-F238E27FC236}">
              <a16:creationId xmlns:a16="http://schemas.microsoft.com/office/drawing/2014/main" id="{CBD38BBD-3E63-4C7E-AAAE-6601A042D43B}"/>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5" name="Shape 11">
          <a:extLst>
            <a:ext uri="{FF2B5EF4-FFF2-40B4-BE49-F238E27FC236}">
              <a16:creationId xmlns:a16="http://schemas.microsoft.com/office/drawing/2014/main" id="{3C74480B-08EE-4F0C-9D19-CF56AFB62B3C}"/>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6" name="Shape 11">
          <a:extLst>
            <a:ext uri="{FF2B5EF4-FFF2-40B4-BE49-F238E27FC236}">
              <a16:creationId xmlns:a16="http://schemas.microsoft.com/office/drawing/2014/main" id="{E5A7A7B0-8663-4E20-944A-EFA582115CB8}"/>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57" name="Shape 10">
          <a:extLst>
            <a:ext uri="{FF2B5EF4-FFF2-40B4-BE49-F238E27FC236}">
              <a16:creationId xmlns:a16="http://schemas.microsoft.com/office/drawing/2014/main" id="{8008CD18-A167-4F0A-84C0-CC2231A69946}"/>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8" name="Shape 11">
          <a:extLst>
            <a:ext uri="{FF2B5EF4-FFF2-40B4-BE49-F238E27FC236}">
              <a16:creationId xmlns:a16="http://schemas.microsoft.com/office/drawing/2014/main" id="{CECA091A-1CFA-4239-B8F7-7609CBFC90F3}"/>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59" name="Shape 11">
          <a:extLst>
            <a:ext uri="{FF2B5EF4-FFF2-40B4-BE49-F238E27FC236}">
              <a16:creationId xmlns:a16="http://schemas.microsoft.com/office/drawing/2014/main" id="{20FE785A-3A90-4AB7-80B6-B2F481AF79DD}"/>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0" name="Shape 11">
          <a:extLst>
            <a:ext uri="{FF2B5EF4-FFF2-40B4-BE49-F238E27FC236}">
              <a16:creationId xmlns:a16="http://schemas.microsoft.com/office/drawing/2014/main" id="{88E8B4EC-78F9-486A-9B70-0913F17860A7}"/>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1" name="Shape 11">
          <a:extLst>
            <a:ext uri="{FF2B5EF4-FFF2-40B4-BE49-F238E27FC236}">
              <a16:creationId xmlns:a16="http://schemas.microsoft.com/office/drawing/2014/main" id="{BC1A8A9E-7D70-4AA4-9309-4D9A33899ACD}"/>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2" name="Shape 11">
          <a:extLst>
            <a:ext uri="{FF2B5EF4-FFF2-40B4-BE49-F238E27FC236}">
              <a16:creationId xmlns:a16="http://schemas.microsoft.com/office/drawing/2014/main" id="{4934A832-DBDA-4621-A11B-512870A458BD}"/>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63" name="Shape 10">
          <a:extLst>
            <a:ext uri="{FF2B5EF4-FFF2-40B4-BE49-F238E27FC236}">
              <a16:creationId xmlns:a16="http://schemas.microsoft.com/office/drawing/2014/main" id="{A5A75A1F-7EC0-4576-8FB1-7AD166AFC779}"/>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4" name="Shape 11">
          <a:extLst>
            <a:ext uri="{FF2B5EF4-FFF2-40B4-BE49-F238E27FC236}">
              <a16:creationId xmlns:a16="http://schemas.microsoft.com/office/drawing/2014/main" id="{D988AEB4-611D-43A9-8F53-29D3B7B1FDAE}"/>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5" name="Shape 11">
          <a:extLst>
            <a:ext uri="{FF2B5EF4-FFF2-40B4-BE49-F238E27FC236}">
              <a16:creationId xmlns:a16="http://schemas.microsoft.com/office/drawing/2014/main" id="{0F4E97BA-8FFE-4AC5-B1BC-C66E87326149}"/>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6" name="Shape 11">
          <a:extLst>
            <a:ext uri="{FF2B5EF4-FFF2-40B4-BE49-F238E27FC236}">
              <a16:creationId xmlns:a16="http://schemas.microsoft.com/office/drawing/2014/main" id="{2F8568D0-9C10-4DAF-AFA6-DFCEE329CED9}"/>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7" name="Shape 11">
          <a:extLst>
            <a:ext uri="{FF2B5EF4-FFF2-40B4-BE49-F238E27FC236}">
              <a16:creationId xmlns:a16="http://schemas.microsoft.com/office/drawing/2014/main" id="{6A56B106-0400-4B2B-8B30-BE79864128F1}"/>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68" name="Shape 11">
          <a:extLst>
            <a:ext uri="{FF2B5EF4-FFF2-40B4-BE49-F238E27FC236}">
              <a16:creationId xmlns:a16="http://schemas.microsoft.com/office/drawing/2014/main" id="{014EE3AE-8CF0-492B-95D6-93CD974655D8}"/>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69" name="Shape 10">
          <a:extLst>
            <a:ext uri="{FF2B5EF4-FFF2-40B4-BE49-F238E27FC236}">
              <a16:creationId xmlns:a16="http://schemas.microsoft.com/office/drawing/2014/main" id="{3902C289-683B-4FAA-A2A3-F4ED441C29C8}"/>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0" name="Shape 11">
          <a:extLst>
            <a:ext uri="{FF2B5EF4-FFF2-40B4-BE49-F238E27FC236}">
              <a16:creationId xmlns:a16="http://schemas.microsoft.com/office/drawing/2014/main" id="{157956B7-0DB3-4A4D-B63F-F62831327060}"/>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1" name="Shape 11">
          <a:extLst>
            <a:ext uri="{FF2B5EF4-FFF2-40B4-BE49-F238E27FC236}">
              <a16:creationId xmlns:a16="http://schemas.microsoft.com/office/drawing/2014/main" id="{0857AB11-C473-4339-B852-65E9B550D6A7}"/>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2" name="Shape 11">
          <a:extLst>
            <a:ext uri="{FF2B5EF4-FFF2-40B4-BE49-F238E27FC236}">
              <a16:creationId xmlns:a16="http://schemas.microsoft.com/office/drawing/2014/main" id="{0BE321A9-7A77-49EB-8621-7F2432FFF17B}"/>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3" name="Shape 11">
          <a:extLst>
            <a:ext uri="{FF2B5EF4-FFF2-40B4-BE49-F238E27FC236}">
              <a16:creationId xmlns:a16="http://schemas.microsoft.com/office/drawing/2014/main" id="{34827280-D409-4CD4-B860-8888937D482E}"/>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4" name="Shape 11">
          <a:extLst>
            <a:ext uri="{FF2B5EF4-FFF2-40B4-BE49-F238E27FC236}">
              <a16:creationId xmlns:a16="http://schemas.microsoft.com/office/drawing/2014/main" id="{3F079302-DD1E-477B-AC7E-A9A1DD729A91}"/>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75" name="Shape 10">
          <a:extLst>
            <a:ext uri="{FF2B5EF4-FFF2-40B4-BE49-F238E27FC236}">
              <a16:creationId xmlns:a16="http://schemas.microsoft.com/office/drawing/2014/main" id="{EE7E1AAA-5CD0-441D-86A8-80B95A5AE0AE}"/>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6" name="Shape 11">
          <a:extLst>
            <a:ext uri="{FF2B5EF4-FFF2-40B4-BE49-F238E27FC236}">
              <a16:creationId xmlns:a16="http://schemas.microsoft.com/office/drawing/2014/main" id="{29A50E81-21F5-45D6-9477-D3F470BF4F3D}"/>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7" name="Shape 11">
          <a:extLst>
            <a:ext uri="{FF2B5EF4-FFF2-40B4-BE49-F238E27FC236}">
              <a16:creationId xmlns:a16="http://schemas.microsoft.com/office/drawing/2014/main" id="{968BA5DB-ACC3-4B35-89EE-D136826F931D}"/>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8" name="Shape 11">
          <a:extLst>
            <a:ext uri="{FF2B5EF4-FFF2-40B4-BE49-F238E27FC236}">
              <a16:creationId xmlns:a16="http://schemas.microsoft.com/office/drawing/2014/main" id="{2F825338-CEB7-43CE-A4A2-160C4F6FA114}"/>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79" name="Shape 11">
          <a:extLst>
            <a:ext uri="{FF2B5EF4-FFF2-40B4-BE49-F238E27FC236}">
              <a16:creationId xmlns:a16="http://schemas.microsoft.com/office/drawing/2014/main" id="{D29968FA-E42D-4775-B10C-46B08255A115}"/>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80" name="Shape 11">
          <a:extLst>
            <a:ext uri="{FF2B5EF4-FFF2-40B4-BE49-F238E27FC236}">
              <a16:creationId xmlns:a16="http://schemas.microsoft.com/office/drawing/2014/main" id="{01044871-4754-4855-879E-DA252B2C2298}"/>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81" name="Shape 10">
          <a:extLst>
            <a:ext uri="{FF2B5EF4-FFF2-40B4-BE49-F238E27FC236}">
              <a16:creationId xmlns:a16="http://schemas.microsoft.com/office/drawing/2014/main" id="{E5B72BA6-E523-4D11-9164-7940B42A8235}"/>
            </a:ext>
          </a:extLst>
        </xdr:cNvPr>
        <xdr:cNvSpPr txBox="1"/>
      </xdr:nvSpPr>
      <xdr:spPr>
        <a:xfrm>
          <a:off x="5838825" y="1376362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9550"/>
    <xdr:sp macro="" textlink="">
      <xdr:nvSpPr>
        <xdr:cNvPr id="582" name="Shape 11">
          <a:extLst>
            <a:ext uri="{FF2B5EF4-FFF2-40B4-BE49-F238E27FC236}">
              <a16:creationId xmlns:a16="http://schemas.microsoft.com/office/drawing/2014/main" id="{4B68A637-9309-4F92-85BD-E5D6F3440029}"/>
            </a:ext>
          </a:extLst>
        </xdr:cNvPr>
        <xdr:cNvSpPr txBox="1"/>
      </xdr:nvSpPr>
      <xdr:spPr>
        <a:xfrm>
          <a:off x="5838825" y="1376362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869</xdr:row>
      <xdr:rowOff>0</xdr:rowOff>
    </xdr:from>
    <xdr:ext cx="85725" cy="209550"/>
    <xdr:sp macro="" textlink="">
      <xdr:nvSpPr>
        <xdr:cNvPr id="583" name="Shape 11">
          <a:extLst>
            <a:ext uri="{FF2B5EF4-FFF2-40B4-BE49-F238E27FC236}">
              <a16:creationId xmlns:a16="http://schemas.microsoft.com/office/drawing/2014/main" id="{421D69DD-B520-4D8F-8146-17E377B13979}"/>
            </a:ext>
          </a:extLst>
        </xdr:cNvPr>
        <xdr:cNvSpPr txBox="1"/>
      </xdr:nvSpPr>
      <xdr:spPr>
        <a:xfrm>
          <a:off x="5838825" y="137953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869</xdr:row>
      <xdr:rowOff>0</xdr:rowOff>
    </xdr:from>
    <xdr:ext cx="38100" cy="104775"/>
    <xdr:sp macro="" textlink="">
      <xdr:nvSpPr>
        <xdr:cNvPr id="584" name="Shape 12">
          <a:extLst>
            <a:ext uri="{FF2B5EF4-FFF2-40B4-BE49-F238E27FC236}">
              <a16:creationId xmlns:a16="http://schemas.microsoft.com/office/drawing/2014/main" id="{F5EBA6FF-1579-4782-B414-FA14A1689BB4}"/>
            </a:ext>
          </a:extLst>
        </xdr:cNvPr>
        <xdr:cNvSpPr txBox="1"/>
      </xdr:nvSpPr>
      <xdr:spPr>
        <a:xfrm>
          <a:off x="0" y="1379537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0025"/>
    <xdr:sp macro="" textlink="">
      <xdr:nvSpPr>
        <xdr:cNvPr id="585" name="Shape 10">
          <a:extLst>
            <a:ext uri="{FF2B5EF4-FFF2-40B4-BE49-F238E27FC236}">
              <a16:creationId xmlns:a16="http://schemas.microsoft.com/office/drawing/2014/main" id="{3B832C78-8BD2-4C2F-913A-E4E03746E043}"/>
            </a:ext>
          </a:extLst>
        </xdr:cNvPr>
        <xdr:cNvSpPr txBox="1"/>
      </xdr:nvSpPr>
      <xdr:spPr>
        <a:xfrm>
          <a:off x="5838825" y="1377950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86" name="Shape 12">
          <a:extLst>
            <a:ext uri="{FF2B5EF4-FFF2-40B4-BE49-F238E27FC236}">
              <a16:creationId xmlns:a16="http://schemas.microsoft.com/office/drawing/2014/main" id="{3339CD4D-ED8A-4388-B835-002668613EFC}"/>
            </a:ext>
          </a:extLst>
        </xdr:cNvPr>
        <xdr:cNvSpPr txBox="1"/>
      </xdr:nvSpPr>
      <xdr:spPr>
        <a:xfrm>
          <a:off x="0" y="1377950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fgov1.sharepoint.com/sites/Juv-AdministrativeTeam/Shared%20Documents/Grant%20Management/Grant%20Requirements%20and%20Reports/YOBG_JJCPA/Expenditure%20Reports/FY%202024/2024-JJCPA-YOBG-Annual-Data-Expenditure-Report%20DCYF%20working_MHM.xlsx" TargetMode="External"/><Relationship Id="rId2" Type="http://schemas.microsoft.com/office/2019/04/relationships/externalLinkLongPath" Target="2024-JJCPA-YOBG-Annual-Data-Expenditure-Report%20DCYF%20working_MHM.xlsx?009C9908" TargetMode="External"/><Relationship Id="rId1" Type="http://schemas.openxmlformats.org/officeDocument/2006/relationships/externalLinkPath" Target="file:///\\009C9908\2024-JJCPA-YOBG-Annual-Data-Expenditure-Report%20DCYF%20working_MH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ACT INFORMATION"/>
      <sheetName val="REPORT 1"/>
      <sheetName val="REPORT 3"/>
      <sheetName val="ARREST REPORT"/>
      <sheetName val="TREND ANALYSIS"/>
      <sheetName val="Addl EXPENDITURE DETAILS2"/>
      <sheetName val="BSCC USE ONLY REPORT TOTALS "/>
      <sheetName val="Drop Down List for Exp Cats"/>
      <sheetName val="YOBG-FUNDED ASSESSMENTS"/>
      <sheetName val="STRATEGY FOR REALIGNED YOUTH"/>
      <sheetName val="OTHER"/>
      <sheetName val="Data"/>
      <sheetName val="Data2"/>
      <sheetName val="Data3"/>
      <sheetName val="tables"/>
      <sheetName val="ImportData"/>
      <sheetName val="ImportData2"/>
      <sheetName val="ImportData3"/>
    </sheetNames>
    <sheetDataSet>
      <sheetData sheetId="0">
        <row r="24">
          <cell r="A24" t="str">
            <v>San Francisco</v>
          </cell>
          <cell r="F24">
            <v>45562</v>
          </cell>
        </row>
        <row r="27">
          <cell r="A27"/>
          <cell r="F27"/>
        </row>
        <row r="29">
          <cell r="A29"/>
          <cell r="D29"/>
        </row>
        <row r="32">
          <cell r="A32"/>
          <cell r="F32"/>
        </row>
        <row r="34">
          <cell r="A34"/>
          <cell r="D34"/>
        </row>
      </sheetData>
      <sheetData sheetId="1"/>
      <sheetData sheetId="2"/>
      <sheetData sheetId="3"/>
      <sheetData sheetId="4"/>
      <sheetData sheetId="5"/>
      <sheetData sheetId="6"/>
      <sheetData sheetId="7">
        <row r="1">
          <cell r="A1" t="str">
            <v>Juvenile Hall</v>
          </cell>
        </row>
        <row r="2">
          <cell r="A2" t="str">
            <v>Ranch</v>
          </cell>
        </row>
        <row r="3">
          <cell r="A3" t="str">
            <v>Camp</v>
          </cell>
        </row>
        <row r="4">
          <cell r="A4" t="str">
            <v>Other Secure/Semi-Secure Rehab Facility</v>
          </cell>
        </row>
        <row r="5">
          <cell r="A5" t="str">
            <v>Private Residential Care</v>
          </cell>
        </row>
        <row r="6">
          <cell r="A6" t="str">
            <v>Home on Probation</v>
          </cell>
        </row>
        <row r="7">
          <cell r="A7" t="str">
            <v>Other Placement</v>
          </cell>
        </row>
        <row r="8">
          <cell r="A8" t="str">
            <v>Alcohol and Drug Treatment</v>
          </cell>
        </row>
        <row r="9">
          <cell r="A9" t="str">
            <v>After School Services</v>
          </cell>
        </row>
        <row r="10">
          <cell r="A10" t="str">
            <v>Aggression Replacement Therapy</v>
          </cell>
        </row>
        <row r="11">
          <cell r="A11" t="str">
            <v>Anger Management Counseling/Treatment</v>
          </cell>
        </row>
        <row r="12">
          <cell r="A12" t="str">
            <v>Development of Case Plan</v>
          </cell>
        </row>
        <row r="13">
          <cell r="A13" t="str">
            <v>Community Service</v>
          </cell>
        </row>
        <row r="14">
          <cell r="A14" t="str">
            <v>Day or Evening Treatment Program</v>
          </cell>
        </row>
        <row r="15">
          <cell r="A15" t="str">
            <v>Detention Assessment(s)</v>
          </cell>
        </row>
        <row r="16">
          <cell r="A16" t="str">
            <v>Electronic Monitoring</v>
          </cell>
        </row>
        <row r="17">
          <cell r="A17" t="str">
            <v>Family Counseling</v>
          </cell>
        </row>
        <row r="18">
          <cell r="A18" t="str">
            <v>Functional Family Therapy</v>
          </cell>
        </row>
        <row r="19">
          <cell r="A19" t="str">
            <v>Gang Intervention</v>
          </cell>
        </row>
        <row r="20">
          <cell r="A20" t="str">
            <v>Gender Specific Programming for Girls</v>
          </cell>
        </row>
        <row r="21">
          <cell r="A21" t="str">
            <v>Gender Specific Programming for Boys</v>
          </cell>
        </row>
        <row r="22">
          <cell r="A22" t="str">
            <v>Group Counseling</v>
          </cell>
        </row>
        <row r="23">
          <cell r="A23" t="str">
            <v>Intensive Probation Supervision</v>
          </cell>
        </row>
        <row r="24">
          <cell r="A24" t="str">
            <v>Job Placement</v>
          </cell>
        </row>
        <row r="25">
          <cell r="A25" t="str">
            <v>Job Readiness Training</v>
          </cell>
        </row>
        <row r="26">
          <cell r="A26" t="str">
            <v>Life/Independent Living Skills Training/Education</v>
          </cell>
        </row>
        <row r="27">
          <cell r="A27" t="str">
            <v>Individual Mental Health Counseling</v>
          </cell>
        </row>
        <row r="28">
          <cell r="A28" t="str">
            <v>Mental Health Screening</v>
          </cell>
        </row>
        <row r="29">
          <cell r="A29" t="str">
            <v>Mentoring</v>
          </cell>
        </row>
        <row r="30">
          <cell r="A30" t="str">
            <v>Monetary Incentives</v>
          </cell>
        </row>
        <row r="31">
          <cell r="A31" t="str">
            <v>Parenting Education</v>
          </cell>
        </row>
        <row r="32">
          <cell r="A32" t="str">
            <v>Pro-Social Skills Training</v>
          </cell>
        </row>
        <row r="33">
          <cell r="A33" t="str">
            <v>Recreational Activities</v>
          </cell>
        </row>
        <row r="34">
          <cell r="A34" t="str">
            <v>Re-Entry or Aftercare Services</v>
          </cell>
        </row>
        <row r="35">
          <cell r="A35" t="str">
            <v>Restitution</v>
          </cell>
        </row>
        <row r="36">
          <cell r="A36" t="str">
            <v>Restorative Justice</v>
          </cell>
        </row>
        <row r="37">
          <cell r="A37" t="str">
            <v>Risk and/or Needs Assessment</v>
          </cell>
        </row>
        <row r="38">
          <cell r="A38" t="str">
            <v>Special Education Services</v>
          </cell>
        </row>
        <row r="39">
          <cell r="A39" t="str">
            <v>Substance Abuse Screening</v>
          </cell>
        </row>
        <row r="40">
          <cell r="A40" t="str">
            <v>Transitional Living Services/Placement</v>
          </cell>
        </row>
        <row r="41">
          <cell r="A41" t="str">
            <v>Tutoring</v>
          </cell>
        </row>
        <row r="42">
          <cell r="A42" t="str">
            <v>Vocational Training</v>
          </cell>
        </row>
        <row r="43">
          <cell r="A43" t="str">
            <v>Other Direct Service</v>
          </cell>
        </row>
        <row r="44">
          <cell r="A44" t="str">
            <v>Staff Training/Professional Development</v>
          </cell>
        </row>
        <row r="45">
          <cell r="A45" t="str">
            <v>Staff Salaries/Benefits</v>
          </cell>
        </row>
        <row r="46">
          <cell r="A46" t="str">
            <v>Capital Improvements</v>
          </cell>
        </row>
        <row r="47">
          <cell r="A47" t="str">
            <v>Equipment</v>
          </cell>
        </row>
        <row r="48">
          <cell r="A48" t="str">
            <v>Contract Services</v>
          </cell>
        </row>
        <row r="49">
          <cell r="A49" t="str">
            <v>Other Procurements</v>
          </cell>
        </row>
        <row r="50">
          <cell r="A50" t="str">
            <v>Other Capacity/Building Mtce Activities</v>
          </cell>
        </row>
      </sheetData>
      <sheetData sheetId="8">
        <row r="8">
          <cell r="I8"/>
        </row>
        <row r="9">
          <cell r="I9"/>
        </row>
        <row r="10">
          <cell r="I10"/>
        </row>
        <row r="11">
          <cell r="I11"/>
        </row>
        <row r="12">
          <cell r="I12"/>
        </row>
        <row r="13">
          <cell r="I13"/>
        </row>
        <row r="14">
          <cell r="I14"/>
        </row>
        <row r="15">
          <cell r="I15"/>
        </row>
        <row r="16">
          <cell r="I16"/>
        </row>
        <row r="17">
          <cell r="I17"/>
        </row>
        <row r="18">
          <cell r="I18"/>
        </row>
        <row r="19">
          <cell r="C19"/>
          <cell r="I19"/>
        </row>
        <row r="20">
          <cell r="C20"/>
          <cell r="I20"/>
        </row>
        <row r="21">
          <cell r="C21"/>
          <cell r="I21"/>
        </row>
        <row r="22">
          <cell r="C22"/>
          <cell r="I22"/>
        </row>
      </sheetData>
      <sheetData sheetId="9">
        <row r="7">
          <cell r="H7"/>
        </row>
        <row r="10">
          <cell r="A10"/>
        </row>
        <row r="27">
          <cell r="A27"/>
        </row>
        <row r="41">
          <cell r="A41"/>
        </row>
      </sheetData>
      <sheetData sheetId="10">
        <row r="6">
          <cell r="I6"/>
        </row>
        <row r="7">
          <cell r="I7"/>
        </row>
        <row r="9">
          <cell r="A9"/>
        </row>
        <row r="29">
          <cell r="A29"/>
        </row>
      </sheetData>
      <sheetData sheetId="11"/>
      <sheetData sheetId="12"/>
      <sheetData sheetId="13"/>
      <sheetData sheetId="14">
        <row r="1">
          <cell r="D1" t="str">
            <v>Alameda</v>
          </cell>
        </row>
        <row r="2">
          <cell r="D2" t="str">
            <v>Alpine</v>
          </cell>
        </row>
        <row r="3">
          <cell r="D3" t="str">
            <v>Amador</v>
          </cell>
        </row>
        <row r="4">
          <cell r="D4" t="str">
            <v>Butte</v>
          </cell>
        </row>
        <row r="5">
          <cell r="D5" t="str">
            <v>Calaveras</v>
          </cell>
        </row>
        <row r="6">
          <cell r="D6" t="str">
            <v>Colusa</v>
          </cell>
        </row>
        <row r="7">
          <cell r="D7" t="str">
            <v>Contra Costa</v>
          </cell>
        </row>
        <row r="8">
          <cell r="D8" t="str">
            <v>Del Norte</v>
          </cell>
        </row>
        <row r="9">
          <cell r="D9" t="str">
            <v>El Dorado</v>
          </cell>
        </row>
        <row r="10">
          <cell r="D10" t="str">
            <v>Fresno</v>
          </cell>
        </row>
        <row r="11">
          <cell r="D11" t="str">
            <v>Glenn</v>
          </cell>
        </row>
        <row r="12">
          <cell r="D12" t="str">
            <v>Humboldt</v>
          </cell>
        </row>
        <row r="13">
          <cell r="D13" t="str">
            <v>Imperial</v>
          </cell>
        </row>
        <row r="14">
          <cell r="D14" t="str">
            <v>Inyo</v>
          </cell>
        </row>
        <row r="15">
          <cell r="D15" t="str">
            <v>Kern</v>
          </cell>
        </row>
        <row r="16">
          <cell r="D16" t="str">
            <v>Kings</v>
          </cell>
        </row>
        <row r="17">
          <cell r="D17" t="str">
            <v>Lake</v>
          </cell>
        </row>
        <row r="18">
          <cell r="D18" t="str">
            <v>Lassen</v>
          </cell>
        </row>
        <row r="19">
          <cell r="D19" t="str">
            <v>Los Angeles</v>
          </cell>
        </row>
        <row r="20">
          <cell r="D20" t="str">
            <v>Madera</v>
          </cell>
        </row>
        <row r="21">
          <cell r="D21" t="str">
            <v>Marin</v>
          </cell>
        </row>
        <row r="22">
          <cell r="D22" t="str">
            <v>Mariposa</v>
          </cell>
        </row>
        <row r="23">
          <cell r="D23" t="str">
            <v>Mendocino</v>
          </cell>
        </row>
        <row r="24">
          <cell r="D24" t="str">
            <v>Merced</v>
          </cell>
          <cell r="F24" t="str">
            <v>Yes</v>
          </cell>
        </row>
        <row r="25">
          <cell r="D25" t="str">
            <v>Modoc</v>
          </cell>
          <cell r="F25" t="str">
            <v>No</v>
          </cell>
        </row>
        <row r="26">
          <cell r="D26" t="str">
            <v>Mono</v>
          </cell>
        </row>
        <row r="27">
          <cell r="D27" t="str">
            <v>Monterey</v>
          </cell>
        </row>
        <row r="28">
          <cell r="D28" t="str">
            <v>Napa</v>
          </cell>
        </row>
        <row r="29">
          <cell r="D29" t="str">
            <v>Nevada</v>
          </cell>
        </row>
        <row r="30">
          <cell r="D30" t="str">
            <v>Orange</v>
          </cell>
        </row>
        <row r="31">
          <cell r="D31" t="str">
            <v>Placer</v>
          </cell>
        </row>
        <row r="32">
          <cell r="D32" t="str">
            <v>Plumas</v>
          </cell>
        </row>
        <row r="33">
          <cell r="D33" t="str">
            <v>Riverside</v>
          </cell>
        </row>
        <row r="34">
          <cell r="D34" t="str">
            <v>Sacramento</v>
          </cell>
        </row>
        <row r="35">
          <cell r="D35" t="str">
            <v>San Benito</v>
          </cell>
        </row>
        <row r="36">
          <cell r="D36" t="str">
            <v>San Bernardino</v>
          </cell>
        </row>
        <row r="37">
          <cell r="D37" t="str">
            <v>San Diego</v>
          </cell>
        </row>
        <row r="38">
          <cell r="D38" t="str">
            <v>San Francisco</v>
          </cell>
        </row>
        <row r="39">
          <cell r="D39" t="str">
            <v>San Joaquin</v>
          </cell>
        </row>
        <row r="40">
          <cell r="D40" t="str">
            <v>San Luis Obispo</v>
          </cell>
        </row>
        <row r="41">
          <cell r="D41" t="str">
            <v>San Mateo</v>
          </cell>
        </row>
        <row r="42">
          <cell r="D42" t="str">
            <v>Santa Barbara</v>
          </cell>
        </row>
        <row r="43">
          <cell r="D43" t="str">
            <v>Santa Clara</v>
          </cell>
        </row>
        <row r="44">
          <cell r="D44" t="str">
            <v>Santa Cruz</v>
          </cell>
        </row>
        <row r="45">
          <cell r="D45" t="str">
            <v>Shasta</v>
          </cell>
        </row>
        <row r="46">
          <cell r="D46" t="str">
            <v>Sierra</v>
          </cell>
        </row>
        <row r="47">
          <cell r="D47" t="str">
            <v>Siskiyou</v>
          </cell>
        </row>
        <row r="48">
          <cell r="D48" t="str">
            <v>Solano</v>
          </cell>
        </row>
        <row r="49">
          <cell r="D49" t="str">
            <v>Sonoma</v>
          </cell>
        </row>
        <row r="50">
          <cell r="D50" t="str">
            <v>Stanislaus</v>
          </cell>
        </row>
        <row r="51">
          <cell r="D51" t="str">
            <v>Sutter</v>
          </cell>
        </row>
        <row r="52">
          <cell r="D52" t="str">
            <v>Tehama</v>
          </cell>
        </row>
        <row r="53">
          <cell r="D53" t="str">
            <v>Trinity</v>
          </cell>
        </row>
        <row r="54">
          <cell r="D54" t="str">
            <v>Tulare</v>
          </cell>
        </row>
        <row r="55">
          <cell r="D55" t="str">
            <v>Tuolumne</v>
          </cell>
        </row>
        <row r="56">
          <cell r="D56" t="str">
            <v>Ventura</v>
          </cell>
        </row>
        <row r="57">
          <cell r="D57" t="str">
            <v>Yolo</v>
          </cell>
        </row>
        <row r="58">
          <cell r="D58" t="str">
            <v>Yuba</v>
          </cell>
        </row>
      </sheetData>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ronica.martinez@sfgov.org" TargetMode="External"/><Relationship Id="rId1" Type="http://schemas.openxmlformats.org/officeDocument/2006/relationships/hyperlink" Target="mailto:maria.mckee@sfgov.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21" activePane="bottomLeft" state="frozen"/>
      <selection pane="bottomLeft" activeCell="L48" sqref="L48:T50"/>
    </sheetView>
  </sheetViews>
  <sheetFormatPr defaultColWidth="12.54296875" defaultRowHeight="15" customHeight="1"/>
  <cols>
    <col min="1" max="1" width="9.81640625" customWidth="1"/>
    <col min="2" max="2" width="8.81640625" customWidth="1"/>
    <col min="3" max="3" width="6" customWidth="1"/>
    <col min="4" max="10" width="10.453125" customWidth="1"/>
    <col min="11" max="26" width="8.81640625" customWidth="1"/>
  </cols>
  <sheetData>
    <row r="1" spans="1:10" ht="1.5" customHeight="1">
      <c r="A1" s="88"/>
      <c r="B1" s="89"/>
      <c r="C1" s="89"/>
      <c r="D1" s="89"/>
      <c r="E1" s="89"/>
      <c r="F1" s="89"/>
      <c r="G1" s="89"/>
      <c r="H1" s="89"/>
      <c r="I1" s="89"/>
      <c r="J1" s="90"/>
    </row>
    <row r="2" spans="1:10" ht="7.5" customHeight="1">
      <c r="A2" s="200"/>
      <c r="B2" s="177"/>
      <c r="C2" s="91"/>
      <c r="D2" s="202" t="s">
        <v>0</v>
      </c>
      <c r="E2" s="177"/>
      <c r="F2" s="177"/>
      <c r="G2" s="177"/>
      <c r="H2" s="177"/>
      <c r="I2" s="177"/>
      <c r="J2" s="178"/>
    </row>
    <row r="3" spans="1:10" ht="15" customHeight="1">
      <c r="A3" s="183"/>
      <c r="B3" s="192"/>
      <c r="C3" s="92"/>
      <c r="D3" s="183"/>
      <c r="E3" s="192"/>
      <c r="F3" s="192"/>
      <c r="G3" s="192"/>
      <c r="H3" s="192"/>
      <c r="I3" s="192"/>
      <c r="J3" s="182"/>
    </row>
    <row r="4" spans="1:10" ht="15" customHeight="1">
      <c r="A4" s="183"/>
      <c r="B4" s="192"/>
      <c r="C4" s="92"/>
      <c r="D4" s="93" t="s">
        <v>1</v>
      </c>
      <c r="E4" s="94"/>
      <c r="F4" s="94"/>
      <c r="G4" s="94"/>
      <c r="H4" s="94"/>
      <c r="I4" s="94"/>
      <c r="J4" s="95"/>
    </row>
    <row r="5" spans="1:10" ht="15" customHeight="1">
      <c r="A5" s="183"/>
      <c r="B5" s="192"/>
      <c r="C5" s="92"/>
      <c r="D5" s="93" t="s">
        <v>2</v>
      </c>
      <c r="E5" s="96"/>
      <c r="F5" s="96"/>
      <c r="G5" s="96"/>
      <c r="H5" s="96"/>
      <c r="I5" s="96"/>
      <c r="J5" s="97"/>
    </row>
    <row r="6" spans="1:10" ht="7.5" customHeight="1">
      <c r="A6" s="201"/>
      <c r="B6" s="188"/>
      <c r="C6" s="98"/>
      <c r="D6" s="99"/>
      <c r="E6" s="99"/>
      <c r="F6" s="99"/>
      <c r="G6" s="99"/>
      <c r="H6" s="99"/>
      <c r="I6" s="99"/>
      <c r="J6" s="100"/>
    </row>
    <row r="7" spans="1:10" ht="6" customHeight="1">
      <c r="A7" s="101"/>
      <c r="B7" s="84"/>
      <c r="C7" s="78"/>
      <c r="D7" s="78"/>
      <c r="E7" s="78"/>
      <c r="F7" s="78"/>
      <c r="G7" s="78"/>
      <c r="H7" s="78"/>
      <c r="I7" s="78"/>
      <c r="J7" s="102"/>
    </row>
    <row r="8" spans="1:10" ht="12.75" customHeight="1">
      <c r="A8" s="203" t="s">
        <v>3</v>
      </c>
      <c r="B8" s="181"/>
      <c r="C8" s="181"/>
      <c r="D8" s="181"/>
      <c r="E8" s="181"/>
      <c r="F8" s="181"/>
      <c r="G8" s="181"/>
      <c r="H8" s="181"/>
      <c r="I8" s="181"/>
      <c r="J8" s="182"/>
    </row>
    <row r="9" spans="1:10" ht="12.75" customHeight="1">
      <c r="A9" s="183"/>
      <c r="B9" s="181"/>
      <c r="C9" s="181"/>
      <c r="D9" s="181"/>
      <c r="E9" s="181"/>
      <c r="F9" s="181"/>
      <c r="G9" s="181"/>
      <c r="H9" s="181"/>
      <c r="I9" s="181"/>
      <c r="J9" s="182"/>
    </row>
    <row r="10" spans="1:10" ht="12.75" customHeight="1">
      <c r="A10" s="183"/>
      <c r="B10" s="181"/>
      <c r="C10" s="181"/>
      <c r="D10" s="181"/>
      <c r="E10" s="181"/>
      <c r="F10" s="181"/>
      <c r="G10" s="181"/>
      <c r="H10" s="181"/>
      <c r="I10" s="181"/>
      <c r="J10" s="182"/>
    </row>
    <row r="11" spans="1:10" ht="12.75" customHeight="1">
      <c r="A11" s="183"/>
      <c r="B11" s="181"/>
      <c r="C11" s="181"/>
      <c r="D11" s="181"/>
      <c r="E11" s="181"/>
      <c r="F11" s="181"/>
      <c r="G11" s="181"/>
      <c r="H11" s="181"/>
      <c r="I11" s="181"/>
      <c r="J11" s="182"/>
    </row>
    <row r="12" spans="1:10" ht="12.75" customHeight="1">
      <c r="A12" s="183"/>
      <c r="B12" s="181"/>
      <c r="C12" s="181"/>
      <c r="D12" s="181"/>
      <c r="E12" s="181"/>
      <c r="F12" s="181"/>
      <c r="G12" s="181"/>
      <c r="H12" s="181"/>
      <c r="I12" s="181"/>
      <c r="J12" s="182"/>
    </row>
    <row r="13" spans="1:10" ht="12.75" customHeight="1">
      <c r="A13" s="183"/>
      <c r="B13" s="181"/>
      <c r="C13" s="181"/>
      <c r="D13" s="181"/>
      <c r="E13" s="181"/>
      <c r="F13" s="181"/>
      <c r="G13" s="181"/>
      <c r="H13" s="181"/>
      <c r="I13" s="181"/>
      <c r="J13" s="182"/>
    </row>
    <row r="14" spans="1:10" ht="12.75" customHeight="1">
      <c r="A14" s="183"/>
      <c r="B14" s="181"/>
      <c r="C14" s="181"/>
      <c r="D14" s="181"/>
      <c r="E14" s="181"/>
      <c r="F14" s="181"/>
      <c r="G14" s="181"/>
      <c r="H14" s="181"/>
      <c r="I14" s="181"/>
      <c r="J14" s="182"/>
    </row>
    <row r="15" spans="1:10" ht="6" customHeight="1">
      <c r="A15" s="180"/>
      <c r="B15" s="181"/>
      <c r="C15" s="181"/>
      <c r="D15" s="181"/>
      <c r="E15" s="181"/>
      <c r="F15" s="181"/>
      <c r="G15" s="181"/>
      <c r="H15" s="181"/>
      <c r="I15" s="181"/>
      <c r="J15" s="182"/>
    </row>
    <row r="16" spans="1:10" ht="12.75" customHeight="1">
      <c r="A16" s="204" t="s">
        <v>4</v>
      </c>
      <c r="B16" s="181"/>
      <c r="C16" s="181"/>
      <c r="D16" s="181"/>
      <c r="E16" s="181"/>
      <c r="F16" s="181"/>
      <c r="G16" s="181"/>
      <c r="H16" s="181"/>
      <c r="I16" s="181"/>
      <c r="J16" s="182"/>
    </row>
    <row r="17" spans="1:26" ht="12.75" customHeight="1">
      <c r="A17" s="183"/>
      <c r="B17" s="181"/>
      <c r="C17" s="181"/>
      <c r="D17" s="181"/>
      <c r="E17" s="181"/>
      <c r="F17" s="181"/>
      <c r="G17" s="181"/>
      <c r="H17" s="181"/>
      <c r="I17" s="181"/>
      <c r="J17" s="182"/>
    </row>
    <row r="18" spans="1:26" ht="6" customHeight="1">
      <c r="A18" s="103"/>
      <c r="B18" s="1"/>
      <c r="C18" s="1"/>
      <c r="D18" s="1"/>
      <c r="E18" s="1"/>
      <c r="F18" s="1"/>
      <c r="G18" s="1"/>
      <c r="H18" s="1"/>
      <c r="I18" s="1"/>
      <c r="J18" s="104"/>
    </row>
    <row r="19" spans="1:26" ht="12.75" customHeight="1">
      <c r="A19" s="180" t="s">
        <v>5</v>
      </c>
      <c r="B19" s="181"/>
      <c r="C19" s="181"/>
      <c r="D19" s="181"/>
      <c r="E19" s="181"/>
      <c r="F19" s="181"/>
      <c r="G19" s="181"/>
      <c r="H19" s="181"/>
      <c r="I19" s="181"/>
      <c r="J19" s="182"/>
    </row>
    <row r="20" spans="1:26" ht="30" customHeight="1">
      <c r="A20" s="183"/>
      <c r="B20" s="181"/>
      <c r="C20" s="181"/>
      <c r="D20" s="181"/>
      <c r="E20" s="181"/>
      <c r="F20" s="181"/>
      <c r="G20" s="181"/>
      <c r="H20" s="181"/>
      <c r="I20" s="181"/>
      <c r="J20" s="182"/>
    </row>
    <row r="21" spans="1:26" ht="4.5" customHeight="1">
      <c r="A21" s="105"/>
      <c r="B21" s="2"/>
      <c r="C21" s="2"/>
      <c r="D21" s="2"/>
      <c r="E21" s="2"/>
      <c r="F21" s="2"/>
      <c r="G21" s="2"/>
      <c r="H21" s="2"/>
      <c r="I21" s="2"/>
      <c r="J21" s="106"/>
    </row>
    <row r="22" spans="1:26" ht="15" customHeight="1">
      <c r="A22" s="107" t="s">
        <v>6</v>
      </c>
      <c r="B22" s="108"/>
      <c r="C22" s="108"/>
      <c r="D22" s="108"/>
      <c r="E22" s="108"/>
      <c r="F22" s="108"/>
      <c r="G22" s="108"/>
      <c r="H22" s="108"/>
      <c r="I22" s="108"/>
      <c r="J22" s="109"/>
    </row>
    <row r="23" spans="1:26" ht="15" customHeight="1">
      <c r="A23" s="196" t="s">
        <v>7</v>
      </c>
      <c r="B23" s="197"/>
      <c r="C23" s="197"/>
      <c r="D23" s="197"/>
      <c r="E23" s="198"/>
      <c r="F23" s="196" t="s">
        <v>8</v>
      </c>
      <c r="G23" s="197"/>
      <c r="H23" s="197"/>
      <c r="I23" s="197"/>
      <c r="J23" s="198"/>
    </row>
    <row r="24" spans="1:26" ht="18.75" customHeight="1">
      <c r="A24" s="199" t="s">
        <v>894</v>
      </c>
      <c r="B24" s="197"/>
      <c r="C24" s="197"/>
      <c r="D24" s="197"/>
      <c r="E24" s="198"/>
      <c r="F24" s="205">
        <v>45560</v>
      </c>
      <c r="G24" s="197"/>
      <c r="H24" s="197"/>
      <c r="I24" s="197"/>
      <c r="J24" s="198"/>
      <c r="K24" s="3"/>
      <c r="L24" s="3"/>
      <c r="M24" s="3"/>
      <c r="N24" s="3"/>
      <c r="O24" s="3"/>
      <c r="P24" s="3"/>
      <c r="Q24" s="3"/>
      <c r="R24" s="3"/>
      <c r="S24" s="3"/>
      <c r="T24" s="3"/>
      <c r="U24" s="3"/>
      <c r="V24" s="3"/>
      <c r="W24" s="3"/>
      <c r="X24" s="3"/>
      <c r="Y24" s="3"/>
      <c r="Z24" s="3"/>
    </row>
    <row r="25" spans="1:26" ht="15" customHeight="1">
      <c r="A25" s="176" t="s">
        <v>9</v>
      </c>
      <c r="B25" s="177"/>
      <c r="C25" s="177"/>
      <c r="D25" s="177"/>
      <c r="E25" s="177"/>
      <c r="F25" s="177"/>
      <c r="G25" s="177"/>
      <c r="H25" s="177"/>
      <c r="I25" s="177"/>
      <c r="J25" s="178"/>
    </row>
    <row r="26" spans="1:26" ht="15" customHeight="1">
      <c r="A26" s="179" t="s">
        <v>10</v>
      </c>
      <c r="B26" s="177"/>
      <c r="C26" s="177"/>
      <c r="D26" s="177"/>
      <c r="E26" s="178"/>
      <c r="F26" s="179" t="s">
        <v>11</v>
      </c>
      <c r="G26" s="177"/>
      <c r="H26" s="177"/>
      <c r="I26" s="177"/>
      <c r="J26" s="178"/>
    </row>
    <row r="27" spans="1:26" ht="15" customHeight="1">
      <c r="A27" s="187" t="s">
        <v>919</v>
      </c>
      <c r="B27" s="188"/>
      <c r="C27" s="188"/>
      <c r="D27" s="188"/>
      <c r="E27" s="189"/>
      <c r="F27" s="187" t="s">
        <v>920</v>
      </c>
      <c r="G27" s="188"/>
      <c r="H27" s="188"/>
      <c r="I27" s="188"/>
      <c r="J27" s="189"/>
      <c r="N27" s="193"/>
      <c r="O27" s="181"/>
      <c r="P27" s="181"/>
      <c r="Q27" s="181"/>
      <c r="R27" s="181"/>
    </row>
    <row r="28" spans="1:26" ht="15" customHeight="1">
      <c r="A28" s="194" t="s">
        <v>12</v>
      </c>
      <c r="B28" s="192"/>
      <c r="C28" s="182"/>
      <c r="D28" s="194" t="s">
        <v>13</v>
      </c>
      <c r="E28" s="192"/>
      <c r="F28" s="192"/>
      <c r="G28" s="192"/>
      <c r="H28" s="192"/>
      <c r="I28" s="192"/>
      <c r="J28" s="182"/>
    </row>
    <row r="29" spans="1:26" ht="15" customHeight="1">
      <c r="A29" s="187" t="s">
        <v>921</v>
      </c>
      <c r="B29" s="188"/>
      <c r="C29" s="189"/>
      <c r="D29" s="195" t="s">
        <v>922</v>
      </c>
      <c r="E29" s="188"/>
      <c r="F29" s="188"/>
      <c r="G29" s="188"/>
      <c r="H29" s="188"/>
      <c r="I29" s="188"/>
      <c r="J29" s="189"/>
    </row>
    <row r="30" spans="1:26" ht="15" customHeight="1">
      <c r="A30" s="176" t="s">
        <v>14</v>
      </c>
      <c r="B30" s="177"/>
      <c r="C30" s="177"/>
      <c r="D30" s="177"/>
      <c r="E30" s="177"/>
      <c r="F30" s="177"/>
      <c r="G30" s="177"/>
      <c r="H30" s="177"/>
      <c r="I30" s="177"/>
      <c r="J30" s="178"/>
    </row>
    <row r="31" spans="1:26" ht="15" customHeight="1">
      <c r="A31" s="179" t="s">
        <v>10</v>
      </c>
      <c r="B31" s="177"/>
      <c r="C31" s="177"/>
      <c r="D31" s="177"/>
      <c r="E31" s="177"/>
      <c r="F31" s="179" t="s">
        <v>11</v>
      </c>
      <c r="G31" s="177"/>
      <c r="H31" s="177"/>
      <c r="I31" s="177"/>
      <c r="J31" s="178"/>
    </row>
    <row r="32" spans="1:26" ht="15" customHeight="1">
      <c r="A32" s="185" t="s">
        <v>923</v>
      </c>
      <c r="B32" s="181"/>
      <c r="C32" s="181"/>
      <c r="D32" s="181"/>
      <c r="E32" s="181"/>
      <c r="F32" s="185" t="s">
        <v>924</v>
      </c>
      <c r="G32" s="181"/>
      <c r="H32" s="181"/>
      <c r="I32" s="181"/>
      <c r="J32" s="182"/>
    </row>
    <row r="33" spans="1:20" ht="15" customHeight="1">
      <c r="A33" s="179" t="s">
        <v>12</v>
      </c>
      <c r="B33" s="177"/>
      <c r="C33" s="178"/>
      <c r="D33" s="186" t="s">
        <v>13</v>
      </c>
      <c r="E33" s="177"/>
      <c r="F33" s="177"/>
      <c r="G33" s="177"/>
      <c r="H33" s="177"/>
      <c r="I33" s="177"/>
      <c r="J33" s="178"/>
    </row>
    <row r="34" spans="1:20" ht="15" customHeight="1">
      <c r="A34" s="187" t="s">
        <v>926</v>
      </c>
      <c r="B34" s="188"/>
      <c r="C34" s="189"/>
      <c r="D34" s="190" t="s">
        <v>925</v>
      </c>
      <c r="E34" s="188"/>
      <c r="F34" s="188"/>
      <c r="G34" s="188"/>
      <c r="H34" s="188"/>
      <c r="I34" s="188"/>
      <c r="J34" s="189"/>
    </row>
    <row r="35" spans="1:20" ht="12.75" customHeight="1">
      <c r="A35" s="191" t="s">
        <v>15</v>
      </c>
      <c r="B35" s="192"/>
      <c r="C35" s="192"/>
      <c r="D35" s="192"/>
      <c r="E35" s="192"/>
      <c r="F35" s="192"/>
      <c r="G35" s="192"/>
      <c r="H35" s="192"/>
      <c r="I35" s="192"/>
      <c r="J35" s="182"/>
    </row>
    <row r="36" spans="1:20" ht="6" customHeight="1">
      <c r="A36" s="110"/>
      <c r="B36" s="4"/>
      <c r="C36" s="4"/>
      <c r="D36" s="111"/>
      <c r="E36" s="111"/>
      <c r="F36" s="111"/>
      <c r="G36" s="111"/>
      <c r="H36" s="111"/>
      <c r="I36" s="111"/>
      <c r="J36" s="112"/>
    </row>
    <row r="37" spans="1:20" ht="12.75" customHeight="1">
      <c r="A37" s="180" t="s">
        <v>16</v>
      </c>
      <c r="B37" s="181"/>
      <c r="C37" s="181"/>
      <c r="D37" s="181"/>
      <c r="E37" s="181"/>
      <c r="F37" s="181"/>
      <c r="G37" s="181"/>
      <c r="H37" s="181"/>
      <c r="I37" s="181"/>
      <c r="J37" s="182"/>
    </row>
    <row r="38" spans="1:20" ht="12.75" customHeight="1">
      <c r="A38" s="183"/>
      <c r="B38" s="181"/>
      <c r="C38" s="181"/>
      <c r="D38" s="181"/>
      <c r="E38" s="181"/>
      <c r="F38" s="181"/>
      <c r="G38" s="181"/>
      <c r="H38" s="181"/>
      <c r="I38" s="181"/>
      <c r="J38" s="182"/>
    </row>
    <row r="39" spans="1:20" ht="12.75" customHeight="1">
      <c r="A39" s="183"/>
      <c r="B39" s="181"/>
      <c r="C39" s="181"/>
      <c r="D39" s="181"/>
      <c r="E39" s="181"/>
      <c r="F39" s="181"/>
      <c r="G39" s="181"/>
      <c r="H39" s="181"/>
      <c r="I39" s="181"/>
      <c r="J39" s="182"/>
    </row>
    <row r="40" spans="1:20" ht="6" customHeight="1">
      <c r="A40" s="183"/>
      <c r="B40" s="181"/>
      <c r="C40" s="181"/>
      <c r="D40" s="181"/>
      <c r="E40" s="181"/>
      <c r="F40" s="181"/>
      <c r="G40" s="181"/>
      <c r="H40" s="181"/>
      <c r="I40" s="181"/>
      <c r="J40" s="182"/>
    </row>
    <row r="41" spans="1:20" ht="21.75" customHeight="1">
      <c r="A41" s="183"/>
      <c r="B41" s="181"/>
      <c r="C41" s="181"/>
      <c r="D41" s="181"/>
      <c r="E41" s="181"/>
      <c r="F41" s="181"/>
      <c r="G41" s="181"/>
      <c r="H41" s="181"/>
      <c r="I41" s="181"/>
      <c r="J41" s="182"/>
      <c r="L41" s="184"/>
      <c r="M41" s="181"/>
      <c r="N41" s="181"/>
      <c r="O41" s="181"/>
      <c r="P41" s="181"/>
      <c r="Q41" s="181"/>
      <c r="R41" s="181"/>
      <c r="S41" s="181"/>
      <c r="T41" s="181"/>
    </row>
    <row r="42" spans="1:20" ht="12" customHeight="1">
      <c r="A42" s="183"/>
      <c r="B42" s="181"/>
      <c r="C42" s="181"/>
      <c r="D42" s="181"/>
      <c r="E42" s="181"/>
      <c r="F42" s="181"/>
      <c r="G42" s="181"/>
      <c r="H42" s="181"/>
      <c r="I42" s="181"/>
      <c r="J42" s="182"/>
      <c r="L42" s="181"/>
      <c r="M42" s="181"/>
      <c r="N42" s="181"/>
      <c r="O42" s="181"/>
      <c r="P42" s="181"/>
      <c r="Q42" s="181"/>
      <c r="R42" s="181"/>
      <c r="S42" s="181"/>
      <c r="T42" s="181"/>
    </row>
    <row r="43" spans="1:20" ht="12.75" customHeight="1">
      <c r="A43" s="183"/>
      <c r="B43" s="181"/>
      <c r="C43" s="181"/>
      <c r="D43" s="181"/>
      <c r="E43" s="181"/>
      <c r="F43" s="181"/>
      <c r="G43" s="181"/>
      <c r="H43" s="181"/>
      <c r="I43" s="181"/>
      <c r="J43" s="182"/>
      <c r="L43" s="181"/>
      <c r="M43" s="181"/>
      <c r="N43" s="181"/>
      <c r="O43" s="181"/>
      <c r="P43" s="181"/>
      <c r="Q43" s="181"/>
      <c r="R43" s="181"/>
      <c r="S43" s="181"/>
      <c r="T43" s="181"/>
    </row>
    <row r="44" spans="1:20" ht="12.75" customHeight="1">
      <c r="A44" s="183"/>
      <c r="B44" s="181"/>
      <c r="C44" s="181"/>
      <c r="D44" s="181"/>
      <c r="E44" s="181"/>
      <c r="F44" s="181"/>
      <c r="G44" s="181"/>
      <c r="H44" s="181"/>
      <c r="I44" s="181"/>
      <c r="J44" s="182"/>
      <c r="L44" s="181"/>
      <c r="M44" s="181"/>
      <c r="N44" s="181"/>
      <c r="O44" s="181"/>
      <c r="P44" s="181"/>
      <c r="Q44" s="181"/>
      <c r="R44" s="181"/>
      <c r="S44" s="181"/>
      <c r="T44" s="181"/>
    </row>
    <row r="45" spans="1:20" ht="6" customHeight="1">
      <c r="A45" s="183"/>
      <c r="B45" s="181"/>
      <c r="C45" s="181"/>
      <c r="D45" s="181"/>
      <c r="E45" s="181"/>
      <c r="F45" s="181"/>
      <c r="G45" s="181"/>
      <c r="H45" s="181"/>
      <c r="I45" s="181"/>
      <c r="J45" s="182"/>
      <c r="L45" s="181"/>
      <c r="M45" s="181"/>
      <c r="N45" s="181"/>
      <c r="O45" s="181"/>
      <c r="P45" s="181"/>
      <c r="Q45" s="181"/>
      <c r="R45" s="181"/>
      <c r="S45" s="181"/>
      <c r="T45" s="181"/>
    </row>
    <row r="46" spans="1:20" ht="12.75" customHeight="1">
      <c r="A46" s="183"/>
      <c r="B46" s="181"/>
      <c r="C46" s="181"/>
      <c r="D46" s="181"/>
      <c r="E46" s="181"/>
      <c r="F46" s="181"/>
      <c r="G46" s="181"/>
      <c r="H46" s="181"/>
      <c r="I46" s="181"/>
      <c r="J46" s="182"/>
    </row>
    <row r="47" spans="1:20" ht="12.75" customHeight="1">
      <c r="A47" s="183"/>
      <c r="B47" s="181"/>
      <c r="C47" s="181"/>
      <c r="D47" s="181"/>
      <c r="E47" s="181"/>
      <c r="F47" s="181"/>
      <c r="G47" s="181"/>
      <c r="H47" s="181"/>
      <c r="I47" s="181"/>
      <c r="J47" s="182"/>
    </row>
    <row r="48" spans="1:20" ht="12.75" customHeight="1">
      <c r="A48" s="183"/>
      <c r="B48" s="181"/>
      <c r="C48" s="181"/>
      <c r="D48" s="181"/>
      <c r="E48" s="181"/>
      <c r="F48" s="181"/>
      <c r="G48" s="181"/>
      <c r="H48" s="181"/>
      <c r="I48" s="181"/>
      <c r="J48" s="182"/>
      <c r="L48" s="184"/>
      <c r="M48" s="181"/>
      <c r="N48" s="181"/>
      <c r="O48" s="181"/>
      <c r="P48" s="181"/>
      <c r="Q48" s="181"/>
      <c r="R48" s="181"/>
      <c r="S48" s="181"/>
      <c r="T48" s="181"/>
    </row>
    <row r="49" spans="1:26" ht="12" customHeight="1">
      <c r="A49" s="183"/>
      <c r="B49" s="181"/>
      <c r="C49" s="181"/>
      <c r="D49" s="181"/>
      <c r="E49" s="181"/>
      <c r="F49" s="181"/>
      <c r="G49" s="181"/>
      <c r="H49" s="181"/>
      <c r="I49" s="181"/>
      <c r="J49" s="182"/>
      <c r="L49" s="181"/>
      <c r="M49" s="181"/>
      <c r="N49" s="181"/>
      <c r="O49" s="181"/>
      <c r="P49" s="181"/>
      <c r="Q49" s="181"/>
      <c r="R49" s="181"/>
      <c r="S49" s="181"/>
      <c r="T49" s="181"/>
    </row>
    <row r="50" spans="1:26" ht="55.5" customHeight="1">
      <c r="A50" s="183"/>
      <c r="B50" s="181"/>
      <c r="C50" s="181"/>
      <c r="D50" s="181"/>
      <c r="E50" s="181"/>
      <c r="F50" s="181"/>
      <c r="G50" s="181"/>
      <c r="H50" s="181"/>
      <c r="I50" s="181"/>
      <c r="J50" s="182"/>
      <c r="K50" s="5"/>
      <c r="L50" s="181"/>
      <c r="M50" s="181"/>
      <c r="N50" s="181"/>
      <c r="O50" s="181"/>
      <c r="P50" s="181"/>
      <c r="Q50" s="181"/>
      <c r="R50" s="181"/>
      <c r="S50" s="181"/>
      <c r="T50" s="181"/>
      <c r="U50" s="5"/>
      <c r="V50" s="5"/>
      <c r="W50" s="5"/>
      <c r="X50" s="5"/>
      <c r="Y50" s="5"/>
      <c r="Z50" s="5"/>
    </row>
    <row r="51" spans="1:26" ht="14.25" customHeight="1">
      <c r="A51" s="113"/>
      <c r="B51" s="114"/>
      <c r="C51" s="114"/>
      <c r="D51" s="114"/>
      <c r="E51" s="114"/>
      <c r="F51" s="114"/>
      <c r="G51" s="114"/>
      <c r="H51" s="114"/>
      <c r="I51" s="114"/>
      <c r="J51" s="115"/>
    </row>
    <row r="52" spans="1:26" ht="12.75" customHeight="1">
      <c r="A52" s="77"/>
      <c r="B52" s="77"/>
      <c r="C52" s="77"/>
      <c r="D52" s="77"/>
      <c r="E52" s="77"/>
      <c r="F52" s="77"/>
      <c r="G52" s="77"/>
      <c r="H52" s="77"/>
      <c r="I52" s="77"/>
      <c r="J52" s="77"/>
    </row>
    <row r="53" spans="1:26" ht="12.75" customHeight="1">
      <c r="A53" s="77"/>
      <c r="B53" s="77"/>
      <c r="C53" s="77"/>
      <c r="D53" s="77"/>
      <c r="E53" s="77"/>
      <c r="F53" s="77"/>
      <c r="G53" s="77"/>
      <c r="H53" s="77"/>
      <c r="I53" s="77"/>
      <c r="J53" s="77"/>
    </row>
    <row r="54" spans="1:26" ht="12.75" customHeight="1"/>
    <row r="55" spans="1:26" ht="12.75" customHeight="1"/>
    <row r="56" spans="1:26" ht="12.75" customHeight="1"/>
    <row r="57" spans="1:26" ht="12.75" customHeight="1"/>
    <row r="58" spans="1:26" ht="12.75" customHeight="1"/>
    <row r="59" spans="1:26" ht="12.75" customHeight="1"/>
    <row r="60" spans="1:26" ht="12.75" customHeight="1">
      <c r="H60" s="6"/>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1452CC65-BB47-4535-BD77-C28521341612}"/>
    <hyperlink ref="D34" r:id="rId2" xr:uid="{15CE05BA-367B-4ADB-98A1-06692553A400}"/>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A32" sqref="A32:O43"/>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218" t="s">
        <v>17</v>
      </c>
      <c r="B1" s="197"/>
      <c r="C1" s="197"/>
      <c r="D1" s="197"/>
      <c r="E1" s="197"/>
      <c r="F1" s="197"/>
      <c r="G1" s="197"/>
      <c r="H1" s="197"/>
      <c r="I1" s="197"/>
      <c r="J1" s="197"/>
      <c r="K1" s="219" t="str">
        <f>'CONTACT INFORMATION'!$A$24</f>
        <v>San Francisco</v>
      </c>
      <c r="L1" s="197"/>
      <c r="M1" s="197"/>
      <c r="N1" s="197"/>
      <c r="O1" s="198"/>
      <c r="P1" s="7"/>
      <c r="Q1" s="7"/>
      <c r="R1" s="7"/>
      <c r="S1" s="7"/>
      <c r="T1" s="7"/>
      <c r="U1" s="7"/>
      <c r="V1" s="7"/>
      <c r="W1" s="7"/>
      <c r="X1" s="7"/>
      <c r="Y1" s="7"/>
      <c r="Z1" s="7"/>
    </row>
    <row r="2" spans="1:26" ht="8.25" customHeight="1">
      <c r="A2" s="8"/>
      <c r="B2" s="8"/>
      <c r="C2" s="8"/>
      <c r="D2" s="8"/>
      <c r="E2" s="8"/>
      <c r="F2" s="8"/>
      <c r="G2" s="8"/>
      <c r="H2" s="8"/>
      <c r="I2" s="8"/>
      <c r="J2" s="8"/>
      <c r="K2" s="9"/>
      <c r="L2" s="9"/>
      <c r="M2" s="9"/>
      <c r="N2" s="9"/>
      <c r="O2" s="9"/>
    </row>
    <row r="3" spans="1:26" ht="15.75" customHeight="1">
      <c r="A3" s="220" t="s">
        <v>18</v>
      </c>
      <c r="B3" s="177"/>
      <c r="C3" s="177"/>
      <c r="D3" s="177"/>
      <c r="E3" s="177"/>
      <c r="F3" s="177"/>
      <c r="G3" s="177"/>
      <c r="H3" s="177"/>
      <c r="I3" s="177"/>
      <c r="J3" s="177"/>
      <c r="K3" s="177"/>
      <c r="L3" s="177"/>
      <c r="M3" s="177"/>
      <c r="N3" s="177"/>
      <c r="O3" s="178"/>
    </row>
    <row r="4" spans="1:26" ht="59.25" customHeight="1">
      <c r="A4" s="221" t="s">
        <v>19</v>
      </c>
      <c r="B4" s="192"/>
      <c r="C4" s="192"/>
      <c r="D4" s="192"/>
      <c r="E4" s="192"/>
      <c r="F4" s="192"/>
      <c r="G4" s="192"/>
      <c r="H4" s="192"/>
      <c r="I4" s="192"/>
      <c r="J4" s="192"/>
      <c r="K4" s="192"/>
      <c r="L4" s="192"/>
      <c r="M4" s="192"/>
      <c r="N4" s="192"/>
      <c r="O4" s="182"/>
      <c r="P4" s="10"/>
      <c r="Q4" s="10"/>
      <c r="R4" s="10"/>
      <c r="S4" s="10"/>
      <c r="T4" s="10"/>
      <c r="U4" s="10"/>
      <c r="V4" s="10"/>
      <c r="W4" s="10"/>
      <c r="X4" s="10"/>
      <c r="Y4" s="10"/>
      <c r="Z4" s="10"/>
    </row>
    <row r="5" spans="1:26" ht="12.75" customHeight="1">
      <c r="A5" s="116"/>
      <c r="B5" s="11"/>
      <c r="C5" s="11"/>
      <c r="D5" s="11"/>
      <c r="E5" s="11"/>
      <c r="F5" s="11"/>
      <c r="G5" s="11"/>
      <c r="H5" s="11"/>
      <c r="I5" s="11"/>
      <c r="J5" s="11"/>
      <c r="K5" s="11"/>
      <c r="L5" s="11"/>
      <c r="M5" s="11"/>
      <c r="N5" s="11"/>
      <c r="O5" s="117"/>
      <c r="P5" s="10"/>
      <c r="Q5" s="10"/>
      <c r="R5" s="10"/>
      <c r="S5" s="10"/>
      <c r="T5" s="10"/>
      <c r="U5" s="10"/>
      <c r="V5" s="10"/>
      <c r="W5" s="10"/>
      <c r="X5" s="10"/>
      <c r="Y5" s="10"/>
      <c r="Z5" s="10"/>
    </row>
    <row r="6" spans="1:26" ht="12.75" customHeight="1">
      <c r="A6" s="116"/>
      <c r="B6" s="11"/>
      <c r="C6" s="222"/>
      <c r="D6" s="181"/>
      <c r="E6" s="181"/>
      <c r="F6" s="181"/>
      <c r="G6" s="181"/>
      <c r="H6" s="181"/>
      <c r="I6" s="181"/>
      <c r="J6" s="181"/>
      <c r="K6" s="181"/>
      <c r="L6" s="181"/>
      <c r="M6" s="11"/>
      <c r="N6" s="11"/>
      <c r="O6" s="117"/>
      <c r="P6" s="10"/>
      <c r="Q6" s="10"/>
      <c r="R6" s="10"/>
      <c r="S6" s="10"/>
      <c r="T6" s="10"/>
      <c r="U6" s="10"/>
      <c r="V6" s="10"/>
      <c r="W6" s="10"/>
      <c r="X6" s="10"/>
      <c r="Y6" s="10"/>
      <c r="Z6" s="10"/>
    </row>
    <row r="7" spans="1:26" ht="17.25" customHeight="1">
      <c r="A7" s="118"/>
      <c r="D7" s="217" t="s">
        <v>20</v>
      </c>
      <c r="E7" s="181"/>
      <c r="F7" s="181"/>
      <c r="G7" s="181"/>
      <c r="H7" s="181"/>
      <c r="I7" s="181"/>
      <c r="J7" s="181"/>
      <c r="K7" s="181"/>
      <c r="L7" s="181"/>
      <c r="M7" s="82"/>
      <c r="O7" s="119"/>
    </row>
    <row r="8" spans="1:26" ht="12.75" customHeight="1">
      <c r="A8" s="120"/>
      <c r="B8" s="12"/>
      <c r="C8" s="5"/>
      <c r="D8" s="5"/>
      <c r="E8" s="211" t="s">
        <v>21</v>
      </c>
      <c r="F8" s="197"/>
      <c r="G8" s="197"/>
      <c r="H8" s="198"/>
      <c r="I8" s="206">
        <v>0</v>
      </c>
      <c r="J8" s="198"/>
      <c r="K8" s="13"/>
      <c r="L8" s="13"/>
      <c r="M8" s="13"/>
      <c r="N8" s="14"/>
      <c r="O8" s="121"/>
      <c r="P8" s="5"/>
      <c r="Q8" s="5"/>
      <c r="R8" s="5"/>
      <c r="S8" s="5"/>
      <c r="T8" s="5"/>
      <c r="U8" s="5"/>
      <c r="V8" s="5"/>
      <c r="W8" s="5"/>
      <c r="X8" s="5"/>
      <c r="Y8" s="5"/>
      <c r="Z8" s="5"/>
    </row>
    <row r="9" spans="1:26" ht="12.75" customHeight="1">
      <c r="A9" s="120"/>
      <c r="B9" s="12"/>
      <c r="C9" s="5"/>
      <c r="D9" s="5"/>
      <c r="E9" s="212" t="s">
        <v>22</v>
      </c>
      <c r="F9" s="197"/>
      <c r="G9" s="197"/>
      <c r="H9" s="198"/>
      <c r="I9" s="213">
        <v>194</v>
      </c>
      <c r="J9" s="198"/>
      <c r="K9" s="13"/>
      <c r="L9" s="13"/>
      <c r="M9" s="13"/>
      <c r="N9" s="14"/>
      <c r="O9" s="121"/>
      <c r="P9" s="5"/>
      <c r="Q9" s="5"/>
      <c r="R9" s="5"/>
      <c r="S9" s="5"/>
      <c r="T9" s="5"/>
      <c r="U9" s="5"/>
      <c r="V9" s="5"/>
      <c r="W9" s="5"/>
      <c r="X9" s="5"/>
      <c r="Y9" s="5"/>
      <c r="Z9" s="5"/>
    </row>
    <row r="10" spans="1:26" ht="12.75" customHeight="1">
      <c r="A10" s="120"/>
      <c r="B10" s="12"/>
      <c r="C10" s="5"/>
      <c r="D10" s="5"/>
      <c r="E10" s="211" t="s">
        <v>23</v>
      </c>
      <c r="F10" s="197"/>
      <c r="G10" s="197"/>
      <c r="H10" s="198"/>
      <c r="I10" s="206">
        <v>509</v>
      </c>
      <c r="J10" s="198"/>
      <c r="K10" s="13"/>
      <c r="L10" s="13"/>
      <c r="M10" s="13"/>
      <c r="N10" s="14"/>
      <c r="O10" s="121"/>
      <c r="P10" s="5"/>
      <c r="Q10" s="5"/>
      <c r="R10" s="5"/>
      <c r="S10" s="5"/>
      <c r="T10" s="5"/>
      <c r="U10" s="5"/>
      <c r="V10" s="5"/>
      <c r="W10" s="5"/>
      <c r="X10" s="5"/>
      <c r="Y10" s="5"/>
      <c r="Z10" s="5"/>
    </row>
    <row r="11" spans="1:26" ht="12.75" customHeight="1">
      <c r="A11" s="120"/>
      <c r="B11" s="12"/>
      <c r="C11" s="5"/>
      <c r="D11" s="5"/>
      <c r="E11" s="15"/>
      <c r="F11" s="15"/>
      <c r="G11" s="15"/>
      <c r="H11" s="15"/>
      <c r="I11" s="16"/>
      <c r="J11" s="16"/>
      <c r="K11" s="13"/>
      <c r="L11" s="13"/>
      <c r="M11" s="13"/>
      <c r="N11" s="14"/>
      <c r="O11" s="121"/>
      <c r="P11" s="5"/>
      <c r="Q11" s="5"/>
      <c r="R11" s="5"/>
      <c r="S11" s="5"/>
      <c r="T11" s="5"/>
      <c r="U11" s="5"/>
      <c r="V11" s="5"/>
      <c r="W11" s="5"/>
      <c r="X11" s="5"/>
      <c r="Y11" s="5"/>
      <c r="Z11" s="5"/>
    </row>
    <row r="12" spans="1:26" ht="12.75" customHeight="1">
      <c r="A12" s="120"/>
      <c r="E12" s="13"/>
      <c r="F12" s="13"/>
      <c r="G12" s="13"/>
      <c r="H12" s="13"/>
      <c r="I12" s="14"/>
      <c r="J12" s="14"/>
      <c r="K12" s="14"/>
      <c r="L12" s="14"/>
      <c r="M12" s="14"/>
      <c r="N12" s="14"/>
      <c r="O12" s="121"/>
    </row>
    <row r="13" spans="1:26" ht="17.25" customHeight="1">
      <c r="A13" s="122"/>
      <c r="B13" s="10"/>
      <c r="C13" s="10"/>
      <c r="D13" s="217" t="s">
        <v>24</v>
      </c>
      <c r="E13" s="181"/>
      <c r="F13" s="181"/>
      <c r="G13" s="181"/>
      <c r="H13" s="181"/>
      <c r="I13" s="181"/>
      <c r="J13" s="181"/>
      <c r="K13" s="181"/>
      <c r="L13" s="181"/>
      <c r="M13" s="17"/>
      <c r="N13" s="17"/>
      <c r="O13" s="123"/>
      <c r="P13" s="10"/>
      <c r="Q13" s="10"/>
      <c r="R13" s="10"/>
      <c r="S13" s="10"/>
      <c r="T13" s="10"/>
      <c r="U13" s="10"/>
      <c r="V13" s="10"/>
      <c r="W13" s="10"/>
      <c r="X13" s="10"/>
      <c r="Y13" s="10"/>
      <c r="Z13" s="10"/>
    </row>
    <row r="14" spans="1:26" ht="12.75" customHeight="1">
      <c r="A14" s="120"/>
      <c r="E14" s="211" t="s">
        <v>25</v>
      </c>
      <c r="F14" s="197"/>
      <c r="G14" s="197"/>
      <c r="H14" s="198"/>
      <c r="I14" s="206">
        <v>753</v>
      </c>
      <c r="J14" s="198"/>
      <c r="K14" s="14"/>
      <c r="L14" s="14"/>
      <c r="M14" s="14"/>
      <c r="N14" s="14"/>
      <c r="O14" s="121"/>
    </row>
    <row r="15" spans="1:26" ht="12.75" customHeight="1">
      <c r="A15" s="120"/>
      <c r="E15" s="212" t="s">
        <v>26</v>
      </c>
      <c r="F15" s="197"/>
      <c r="G15" s="197"/>
      <c r="H15" s="198"/>
      <c r="I15" s="213">
        <v>268</v>
      </c>
      <c r="J15" s="198"/>
      <c r="K15" s="14"/>
      <c r="L15" s="14"/>
      <c r="M15" s="14"/>
      <c r="N15" s="14"/>
      <c r="O15" s="121"/>
    </row>
    <row r="16" spans="1:26" ht="12.75" customHeight="1">
      <c r="A16" s="120"/>
      <c r="E16" s="214" t="s">
        <v>27</v>
      </c>
      <c r="F16" s="197"/>
      <c r="G16" s="197"/>
      <c r="H16" s="198"/>
      <c r="I16" s="215">
        <f>SUM(I14:J15)</f>
        <v>1021</v>
      </c>
      <c r="J16" s="198"/>
      <c r="K16" s="14"/>
      <c r="L16" s="14"/>
      <c r="M16" s="14"/>
      <c r="N16" s="14"/>
      <c r="O16" s="121"/>
    </row>
    <row r="17" spans="1:26" ht="12.75" customHeight="1">
      <c r="A17" s="120"/>
      <c r="E17" s="14"/>
      <c r="F17" s="14"/>
      <c r="G17" s="14"/>
      <c r="H17" s="14"/>
      <c r="I17" s="14"/>
      <c r="J17" s="14"/>
      <c r="K17" s="14"/>
      <c r="L17" s="14"/>
      <c r="M17" s="14"/>
      <c r="N17" s="14"/>
      <c r="O17" s="121"/>
    </row>
    <row r="18" spans="1:26" ht="12.75" customHeight="1">
      <c r="A18" s="120"/>
      <c r="E18" s="14"/>
      <c r="F18" s="14"/>
      <c r="G18" s="14"/>
      <c r="H18" s="14"/>
      <c r="I18" s="14"/>
      <c r="J18" s="14"/>
      <c r="K18" s="14"/>
      <c r="L18" s="14"/>
      <c r="M18" s="14"/>
      <c r="N18" s="14"/>
      <c r="O18" s="121"/>
    </row>
    <row r="19" spans="1:26" ht="17.25" customHeight="1">
      <c r="A19" s="122"/>
      <c r="B19" s="10"/>
      <c r="C19" s="10"/>
      <c r="D19" s="81" t="s">
        <v>28</v>
      </c>
      <c r="E19" s="81"/>
      <c r="F19" s="81"/>
      <c r="G19" s="81"/>
      <c r="H19" s="81"/>
      <c r="I19" s="81"/>
      <c r="J19" s="81"/>
      <c r="K19" s="124"/>
      <c r="L19" s="17"/>
      <c r="M19" s="17"/>
      <c r="N19" s="17"/>
      <c r="O19" s="123"/>
      <c r="P19" s="10"/>
      <c r="Q19" s="10"/>
      <c r="R19" s="10"/>
      <c r="S19" s="10"/>
      <c r="T19" s="10"/>
      <c r="U19" s="10"/>
      <c r="V19" s="10"/>
      <c r="W19" s="10"/>
      <c r="X19" s="10"/>
      <c r="Y19" s="10"/>
      <c r="Z19" s="10"/>
    </row>
    <row r="20" spans="1:26" ht="12.75" customHeight="1">
      <c r="A20" s="120"/>
      <c r="E20" s="211" t="s">
        <v>29</v>
      </c>
      <c r="F20" s="197"/>
      <c r="G20" s="197"/>
      <c r="H20" s="198"/>
      <c r="I20" s="206">
        <v>400</v>
      </c>
      <c r="J20" s="198"/>
      <c r="K20" s="14"/>
      <c r="L20" s="14"/>
      <c r="M20" s="14"/>
      <c r="N20" s="14"/>
      <c r="O20" s="121"/>
    </row>
    <row r="21" spans="1:26" ht="12.75" customHeight="1">
      <c r="A21" s="120"/>
      <c r="E21" s="212" t="s">
        <v>30</v>
      </c>
      <c r="F21" s="197"/>
      <c r="G21" s="197"/>
      <c r="H21" s="198"/>
      <c r="I21" s="216">
        <v>87</v>
      </c>
      <c r="J21" s="198"/>
      <c r="K21" s="14"/>
      <c r="L21" s="14"/>
      <c r="M21" s="14"/>
      <c r="N21" s="14"/>
      <c r="O21" s="121"/>
    </row>
    <row r="22" spans="1:26" ht="12.75" customHeight="1">
      <c r="A22" s="120"/>
      <c r="E22" s="211" t="s">
        <v>31</v>
      </c>
      <c r="F22" s="197"/>
      <c r="G22" s="197"/>
      <c r="H22" s="198"/>
      <c r="I22" s="206">
        <v>433</v>
      </c>
      <c r="J22" s="198"/>
      <c r="K22" s="14"/>
      <c r="L22" s="14"/>
      <c r="M22" s="14"/>
      <c r="N22" s="14"/>
      <c r="O22" s="121"/>
    </row>
    <row r="23" spans="1:26" ht="12.75" customHeight="1">
      <c r="A23" s="120"/>
      <c r="E23" s="212" t="s">
        <v>32</v>
      </c>
      <c r="F23" s="197"/>
      <c r="G23" s="197"/>
      <c r="H23" s="198"/>
      <c r="I23" s="213">
        <v>65</v>
      </c>
      <c r="J23" s="198"/>
      <c r="K23" s="14"/>
      <c r="L23" s="14"/>
      <c r="M23" s="14"/>
      <c r="N23" s="14"/>
      <c r="O23" s="121"/>
    </row>
    <row r="24" spans="1:26" ht="12.75" customHeight="1">
      <c r="A24" s="120"/>
      <c r="E24" s="211" t="s">
        <v>33</v>
      </c>
      <c r="F24" s="197"/>
      <c r="G24" s="197"/>
      <c r="H24" s="198"/>
      <c r="I24" s="206">
        <v>0</v>
      </c>
      <c r="J24" s="198"/>
      <c r="K24" s="14"/>
      <c r="L24" s="14"/>
      <c r="M24" s="14"/>
      <c r="N24" s="14"/>
      <c r="O24" s="121"/>
    </row>
    <row r="25" spans="1:26" ht="12.75" customHeight="1">
      <c r="A25" s="120"/>
      <c r="E25" s="212" t="s">
        <v>34</v>
      </c>
      <c r="F25" s="197"/>
      <c r="G25" s="197"/>
      <c r="H25" s="198"/>
      <c r="I25" s="213">
        <v>0</v>
      </c>
      <c r="J25" s="198"/>
      <c r="K25" s="14"/>
      <c r="L25" s="14"/>
      <c r="M25" s="14"/>
      <c r="N25" s="14"/>
      <c r="O25" s="121"/>
    </row>
    <row r="26" spans="1:26" ht="12.75" customHeight="1">
      <c r="A26" s="120"/>
      <c r="E26" s="211" t="s">
        <v>35</v>
      </c>
      <c r="F26" s="197"/>
      <c r="G26" s="197"/>
      <c r="H26" s="198"/>
      <c r="I26" s="206">
        <v>36</v>
      </c>
      <c r="J26" s="198"/>
      <c r="K26" s="14"/>
      <c r="L26" s="14"/>
      <c r="M26" s="14"/>
      <c r="N26" s="14"/>
      <c r="O26" s="121"/>
    </row>
    <row r="27" spans="1:26" ht="12.75" customHeight="1">
      <c r="A27" s="120"/>
      <c r="E27" s="214" t="s">
        <v>27</v>
      </c>
      <c r="F27" s="197"/>
      <c r="G27" s="197"/>
      <c r="H27" s="198"/>
      <c r="I27" s="215">
        <f>SUM(I20:J26)</f>
        <v>1021</v>
      </c>
      <c r="J27" s="198"/>
      <c r="K27" s="18"/>
      <c r="L27" s="18"/>
      <c r="M27" s="18"/>
      <c r="N27" s="18"/>
      <c r="O27" s="125"/>
    </row>
    <row r="28" spans="1:26" ht="12.75" customHeight="1">
      <c r="A28" s="120"/>
      <c r="B28" s="19"/>
      <c r="F28" s="18"/>
      <c r="G28" s="18"/>
      <c r="H28" s="18"/>
      <c r="I28" s="18"/>
      <c r="J28" s="18"/>
      <c r="K28" s="18"/>
      <c r="L28" s="18"/>
      <c r="M28" s="18"/>
      <c r="N28" s="18"/>
      <c r="O28" s="125"/>
    </row>
    <row r="29" spans="1:26" ht="12.75" customHeight="1">
      <c r="A29" s="126"/>
      <c r="B29" s="127"/>
      <c r="C29" s="128"/>
      <c r="D29" s="128"/>
      <c r="E29" s="128"/>
      <c r="F29" s="129"/>
      <c r="G29" s="129"/>
      <c r="H29" s="129"/>
      <c r="I29" s="129"/>
      <c r="J29" s="129"/>
      <c r="K29" s="129"/>
      <c r="L29" s="129"/>
      <c r="M29" s="129"/>
      <c r="N29" s="129"/>
      <c r="O29" s="130"/>
    </row>
    <row r="30" spans="1:26" ht="14.25" customHeight="1"/>
    <row r="31" spans="1:26" ht="13.5" customHeight="1">
      <c r="A31" s="20" t="s">
        <v>36</v>
      </c>
    </row>
    <row r="32" spans="1:26" ht="13.5" customHeight="1">
      <c r="A32" s="207" t="s">
        <v>946</v>
      </c>
      <c r="B32" s="177"/>
      <c r="C32" s="177"/>
      <c r="D32" s="177"/>
      <c r="E32" s="177"/>
      <c r="F32" s="177"/>
      <c r="G32" s="177"/>
      <c r="H32" s="177"/>
      <c r="I32" s="177"/>
      <c r="J32" s="177"/>
      <c r="K32" s="177"/>
      <c r="L32" s="177"/>
      <c r="M32" s="177"/>
      <c r="N32" s="177"/>
      <c r="O32" s="178"/>
    </row>
    <row r="33" spans="1:26" ht="13.5" customHeight="1">
      <c r="A33" s="183"/>
      <c r="B33" s="181"/>
      <c r="C33" s="181"/>
      <c r="D33" s="181"/>
      <c r="E33" s="181"/>
      <c r="F33" s="181"/>
      <c r="G33" s="181"/>
      <c r="H33" s="181"/>
      <c r="I33" s="181"/>
      <c r="J33" s="181"/>
      <c r="K33" s="181"/>
      <c r="L33" s="181"/>
      <c r="M33" s="181"/>
      <c r="N33" s="181"/>
      <c r="O33" s="182"/>
    </row>
    <row r="34" spans="1:26" ht="13.5" customHeight="1">
      <c r="A34" s="183"/>
      <c r="B34" s="181"/>
      <c r="C34" s="181"/>
      <c r="D34" s="181"/>
      <c r="E34" s="181"/>
      <c r="F34" s="181"/>
      <c r="G34" s="181"/>
      <c r="H34" s="181"/>
      <c r="I34" s="181"/>
      <c r="J34" s="181"/>
      <c r="K34" s="181"/>
      <c r="L34" s="181"/>
      <c r="M34" s="181"/>
      <c r="N34" s="181"/>
      <c r="O34" s="182"/>
    </row>
    <row r="35" spans="1:26" ht="13.5" customHeight="1">
      <c r="A35" s="183"/>
      <c r="B35" s="181"/>
      <c r="C35" s="181"/>
      <c r="D35" s="181"/>
      <c r="E35" s="181"/>
      <c r="F35" s="181"/>
      <c r="G35" s="181"/>
      <c r="H35" s="181"/>
      <c r="I35" s="181"/>
      <c r="J35" s="181"/>
      <c r="K35" s="181"/>
      <c r="L35" s="181"/>
      <c r="M35" s="181"/>
      <c r="N35" s="181"/>
      <c r="O35" s="182"/>
    </row>
    <row r="36" spans="1:26" ht="13.5" customHeight="1">
      <c r="A36" s="183"/>
      <c r="B36" s="181"/>
      <c r="C36" s="181"/>
      <c r="D36" s="181"/>
      <c r="E36" s="181"/>
      <c r="F36" s="181"/>
      <c r="G36" s="181"/>
      <c r="H36" s="181"/>
      <c r="I36" s="181"/>
      <c r="J36" s="181"/>
      <c r="K36" s="181"/>
      <c r="L36" s="181"/>
      <c r="M36" s="181"/>
      <c r="N36" s="181"/>
      <c r="O36" s="182"/>
    </row>
    <row r="37" spans="1:26" ht="13.5" customHeight="1">
      <c r="A37" s="183"/>
      <c r="B37" s="181"/>
      <c r="C37" s="181"/>
      <c r="D37" s="181"/>
      <c r="E37" s="181"/>
      <c r="F37" s="181"/>
      <c r="G37" s="181"/>
      <c r="H37" s="181"/>
      <c r="I37" s="181"/>
      <c r="J37" s="181"/>
      <c r="K37" s="181"/>
      <c r="L37" s="181"/>
      <c r="M37" s="181"/>
      <c r="N37" s="181"/>
      <c r="O37" s="182"/>
    </row>
    <row r="38" spans="1:26" ht="13.5" customHeight="1">
      <c r="A38" s="183"/>
      <c r="B38" s="181"/>
      <c r="C38" s="181"/>
      <c r="D38" s="181"/>
      <c r="E38" s="181"/>
      <c r="F38" s="181"/>
      <c r="G38" s="181"/>
      <c r="H38" s="181"/>
      <c r="I38" s="181"/>
      <c r="J38" s="181"/>
      <c r="K38" s="181"/>
      <c r="L38" s="181"/>
      <c r="M38" s="181"/>
      <c r="N38" s="181"/>
      <c r="O38" s="182"/>
    </row>
    <row r="39" spans="1:26" ht="13.5" customHeight="1">
      <c r="A39" s="183"/>
      <c r="B39" s="181"/>
      <c r="C39" s="181"/>
      <c r="D39" s="181"/>
      <c r="E39" s="181"/>
      <c r="F39" s="181"/>
      <c r="G39" s="181"/>
      <c r="H39" s="181"/>
      <c r="I39" s="181"/>
      <c r="J39" s="181"/>
      <c r="K39" s="181"/>
      <c r="L39" s="181"/>
      <c r="M39" s="181"/>
      <c r="N39" s="181"/>
      <c r="O39" s="182"/>
    </row>
    <row r="40" spans="1:26" ht="13.5" customHeight="1">
      <c r="A40" s="183"/>
      <c r="B40" s="181"/>
      <c r="C40" s="181"/>
      <c r="D40" s="181"/>
      <c r="E40" s="181"/>
      <c r="F40" s="181"/>
      <c r="G40" s="181"/>
      <c r="H40" s="181"/>
      <c r="I40" s="181"/>
      <c r="J40" s="181"/>
      <c r="K40" s="181"/>
      <c r="L40" s="181"/>
      <c r="M40" s="181"/>
      <c r="N40" s="181"/>
      <c r="O40" s="182"/>
    </row>
    <row r="41" spans="1:26" ht="13.5" customHeight="1">
      <c r="A41" s="183"/>
      <c r="B41" s="181"/>
      <c r="C41" s="181"/>
      <c r="D41" s="181"/>
      <c r="E41" s="181"/>
      <c r="F41" s="181"/>
      <c r="G41" s="181"/>
      <c r="H41" s="181"/>
      <c r="I41" s="181"/>
      <c r="J41" s="181"/>
      <c r="K41" s="181"/>
      <c r="L41" s="181"/>
      <c r="M41" s="181"/>
      <c r="N41" s="181"/>
      <c r="O41" s="182"/>
    </row>
    <row r="42" spans="1:26" ht="13.5" customHeight="1">
      <c r="A42" s="183"/>
      <c r="B42" s="181"/>
      <c r="C42" s="181"/>
      <c r="D42" s="181"/>
      <c r="E42" s="181"/>
      <c r="F42" s="181"/>
      <c r="G42" s="181"/>
      <c r="H42" s="181"/>
      <c r="I42" s="181"/>
      <c r="J42" s="181"/>
      <c r="K42" s="181"/>
      <c r="L42" s="181"/>
      <c r="M42" s="181"/>
      <c r="N42" s="181"/>
      <c r="O42" s="182"/>
    </row>
    <row r="43" spans="1:26" ht="13.5" customHeight="1">
      <c r="A43" s="201"/>
      <c r="B43" s="188"/>
      <c r="C43" s="188"/>
      <c r="D43" s="188"/>
      <c r="E43" s="188"/>
      <c r="F43" s="188"/>
      <c r="G43" s="188"/>
      <c r="H43" s="188"/>
      <c r="I43" s="188"/>
      <c r="J43" s="188"/>
      <c r="K43" s="188"/>
      <c r="L43" s="188"/>
      <c r="M43" s="188"/>
      <c r="N43" s="188"/>
      <c r="O43" s="189"/>
    </row>
    <row r="44" spans="1:26" ht="13.5" customHeight="1">
      <c r="A44" s="80"/>
      <c r="B44" s="80"/>
      <c r="C44" s="80"/>
      <c r="D44" s="80"/>
      <c r="E44" s="80"/>
      <c r="F44" s="21"/>
      <c r="G44" s="208"/>
      <c r="H44" s="181"/>
      <c r="I44" s="181"/>
      <c r="J44" s="181"/>
      <c r="K44" s="22"/>
      <c r="L44" s="23"/>
      <c r="M44" s="23"/>
      <c r="N44" s="209"/>
      <c r="O44" s="181"/>
      <c r="P44" s="23"/>
      <c r="Q44" s="23"/>
      <c r="R44" s="23"/>
      <c r="S44" s="23"/>
      <c r="T44" s="23"/>
      <c r="U44" s="23"/>
      <c r="V44" s="23"/>
      <c r="W44" s="23"/>
      <c r="X44" s="23"/>
      <c r="Y44" s="23"/>
      <c r="Z44" s="23"/>
    </row>
    <row r="45" spans="1:26" ht="12.75" customHeight="1">
      <c r="A45" s="24"/>
    </row>
    <row r="46" spans="1:26" ht="12.75" customHeight="1"/>
    <row r="47" spans="1:26" ht="12.75" customHeight="1"/>
    <row r="48" spans="1:26" ht="12.75" customHeight="1"/>
    <row r="49" spans="1:26" ht="12.75" customHeight="1"/>
    <row r="50" spans="1:26" ht="12.75" customHeight="1">
      <c r="A50" s="210"/>
      <c r="B50" s="181"/>
      <c r="C50" s="181"/>
      <c r="D50" s="181"/>
      <c r="E50" s="181"/>
      <c r="F50" s="181"/>
      <c r="G50" s="79"/>
      <c r="H50" s="79"/>
      <c r="I50" s="22"/>
      <c r="J50" s="22"/>
      <c r="K50" s="22"/>
      <c r="L50" s="23"/>
      <c r="M50" s="23"/>
      <c r="N50" s="209"/>
      <c r="O50" s="181"/>
      <c r="P50" s="23"/>
      <c r="Q50" s="23"/>
      <c r="R50" s="23"/>
      <c r="S50" s="23"/>
      <c r="T50" s="23"/>
      <c r="U50" s="23"/>
      <c r="V50" s="23"/>
      <c r="W50" s="23"/>
      <c r="X50" s="23"/>
      <c r="Y50" s="23"/>
      <c r="Z50" s="2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2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A48" sqref="A48:O54"/>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40" t="s">
        <v>17</v>
      </c>
      <c r="B1" s="197"/>
      <c r="C1" s="197"/>
      <c r="D1" s="197"/>
      <c r="E1" s="197"/>
      <c r="F1" s="197"/>
      <c r="G1" s="197"/>
      <c r="H1" s="197"/>
      <c r="I1" s="197"/>
      <c r="J1" s="197"/>
      <c r="K1" s="241" t="str">
        <f>'CONTACT INFORMATION'!$A$24</f>
        <v>San Francisco</v>
      </c>
      <c r="L1" s="197"/>
      <c r="M1" s="197"/>
      <c r="N1" s="197"/>
      <c r="O1" s="198"/>
    </row>
    <row r="2" spans="1:26" ht="7.5" customHeight="1">
      <c r="A2" s="26"/>
      <c r="B2" s="26"/>
      <c r="C2" s="26"/>
      <c r="D2" s="26"/>
      <c r="E2" s="26"/>
      <c r="F2" s="26"/>
      <c r="G2" s="26"/>
      <c r="H2" s="26"/>
      <c r="I2" s="26"/>
      <c r="J2" s="26"/>
      <c r="K2" s="26"/>
      <c r="L2" s="26"/>
      <c r="M2" s="26"/>
      <c r="N2" s="26"/>
      <c r="O2" s="26"/>
    </row>
    <row r="3" spans="1:26" ht="24" customHeight="1">
      <c r="A3" s="242" t="s">
        <v>37</v>
      </c>
      <c r="B3" s="177"/>
      <c r="C3" s="177"/>
      <c r="D3" s="177"/>
      <c r="E3" s="177"/>
      <c r="F3" s="177"/>
      <c r="G3" s="177"/>
      <c r="H3" s="177"/>
      <c r="I3" s="177"/>
      <c r="J3" s="177"/>
      <c r="K3" s="177"/>
      <c r="L3" s="177"/>
      <c r="M3" s="177"/>
      <c r="N3" s="177"/>
      <c r="O3" s="178"/>
    </row>
    <row r="4" spans="1:26" ht="44.25" customHeight="1">
      <c r="A4" s="243" t="s">
        <v>38</v>
      </c>
      <c r="B4" s="192"/>
      <c r="C4" s="192"/>
      <c r="D4" s="192"/>
      <c r="E4" s="192"/>
      <c r="F4" s="192"/>
      <c r="G4" s="192"/>
      <c r="H4" s="192"/>
      <c r="I4" s="192"/>
      <c r="J4" s="192"/>
      <c r="K4" s="192"/>
      <c r="L4" s="192"/>
      <c r="M4" s="192"/>
      <c r="N4" s="192"/>
      <c r="O4" s="182"/>
      <c r="P4" s="10"/>
      <c r="Q4" s="10"/>
      <c r="R4" s="10"/>
      <c r="S4" s="10"/>
      <c r="T4" s="10"/>
      <c r="U4" s="10"/>
      <c r="V4" s="10"/>
      <c r="W4" s="10"/>
      <c r="X4" s="10"/>
      <c r="Y4" s="10"/>
      <c r="Z4" s="10"/>
    </row>
    <row r="5" spans="1:26" ht="7.5" customHeight="1">
      <c r="A5" s="116"/>
      <c r="B5" s="11"/>
      <c r="C5" s="11"/>
      <c r="D5" s="11"/>
      <c r="E5" s="11"/>
      <c r="F5" s="11"/>
      <c r="G5" s="11"/>
      <c r="H5" s="11"/>
      <c r="I5" s="11"/>
      <c r="J5" s="11"/>
      <c r="K5" s="11"/>
      <c r="L5" s="11"/>
      <c r="M5" s="11"/>
      <c r="N5" s="11"/>
      <c r="O5" s="117"/>
      <c r="P5" s="10"/>
      <c r="Q5" s="10"/>
      <c r="R5" s="10"/>
      <c r="S5" s="10"/>
      <c r="T5" s="10"/>
      <c r="U5" s="10"/>
      <c r="V5" s="10"/>
      <c r="W5" s="10"/>
      <c r="X5" s="10"/>
      <c r="Y5" s="10"/>
      <c r="Z5" s="10"/>
    </row>
    <row r="6" spans="1:26" ht="13.5" customHeight="1">
      <c r="A6" s="120"/>
      <c r="C6" s="244" t="s">
        <v>39</v>
      </c>
      <c r="D6" s="181"/>
      <c r="E6" s="181"/>
      <c r="F6" s="181"/>
      <c r="G6" s="181"/>
      <c r="H6" s="181"/>
      <c r="I6" s="181"/>
      <c r="J6" s="181"/>
      <c r="K6" s="181"/>
      <c r="L6" s="181"/>
      <c r="M6" s="27"/>
      <c r="N6" s="27"/>
      <c r="O6" s="131"/>
    </row>
    <row r="7" spans="1:26" ht="13.5" customHeight="1">
      <c r="A7" s="132"/>
      <c r="D7" s="234" t="s">
        <v>40</v>
      </c>
      <c r="E7" s="197"/>
      <c r="F7" s="197"/>
      <c r="G7" s="197"/>
      <c r="H7" s="197"/>
      <c r="I7" s="198"/>
      <c r="J7" s="235"/>
      <c r="K7" s="198"/>
      <c r="O7" s="119"/>
    </row>
    <row r="8" spans="1:26" ht="13.5" customHeight="1">
      <c r="A8" s="120"/>
      <c r="D8" s="236" t="s">
        <v>41</v>
      </c>
      <c r="E8" s="197"/>
      <c r="F8" s="197"/>
      <c r="G8" s="197"/>
      <c r="H8" s="197"/>
      <c r="I8" s="198"/>
      <c r="J8" s="237"/>
      <c r="K8" s="198"/>
      <c r="L8" s="28"/>
      <c r="M8" s="28"/>
      <c r="N8" s="28"/>
      <c r="O8" s="133"/>
    </row>
    <row r="9" spans="1:26" ht="13.5" customHeight="1">
      <c r="A9" s="120"/>
      <c r="D9" s="238" t="s">
        <v>27</v>
      </c>
      <c r="E9" s="197"/>
      <c r="F9" s="197"/>
      <c r="G9" s="197"/>
      <c r="H9" s="197"/>
      <c r="I9" s="198"/>
      <c r="J9" s="239">
        <f>SUM(I7:J8)</f>
        <v>0</v>
      </c>
      <c r="K9" s="198"/>
      <c r="L9" s="28"/>
      <c r="M9" s="28"/>
      <c r="N9" s="28"/>
      <c r="O9" s="133"/>
    </row>
    <row r="10" spans="1:26" ht="7.5" customHeight="1">
      <c r="A10" s="120"/>
      <c r="D10" s="29"/>
      <c r="E10" s="29"/>
      <c r="F10" s="29"/>
      <c r="G10" s="29"/>
      <c r="H10" s="29"/>
      <c r="I10" s="29"/>
      <c r="J10" s="30"/>
      <c r="K10" s="30"/>
      <c r="L10" s="28"/>
      <c r="M10" s="28"/>
      <c r="N10" s="28"/>
      <c r="O10" s="133"/>
    </row>
    <row r="11" spans="1:26" ht="13.5" customHeight="1">
      <c r="A11" s="120"/>
      <c r="C11" s="233" t="s">
        <v>42</v>
      </c>
      <c r="D11" s="181"/>
      <c r="E11" s="181"/>
      <c r="F11" s="181"/>
      <c r="G11" s="181"/>
      <c r="H11" s="28"/>
      <c r="I11" s="28"/>
      <c r="J11" s="28"/>
      <c r="K11" s="28"/>
      <c r="L11" s="28"/>
      <c r="M11" s="28"/>
      <c r="N11" s="28"/>
      <c r="O11" s="133"/>
    </row>
    <row r="12" spans="1:26" ht="13.5" customHeight="1">
      <c r="A12" s="120"/>
      <c r="D12" s="228" t="s">
        <v>21</v>
      </c>
      <c r="E12" s="197"/>
      <c r="F12" s="197"/>
      <c r="G12" s="197"/>
      <c r="H12" s="197"/>
      <c r="I12" s="197"/>
      <c r="J12" s="206">
        <v>103</v>
      </c>
      <c r="K12" s="198"/>
      <c r="L12" s="28"/>
      <c r="M12" s="28"/>
      <c r="N12" s="28"/>
      <c r="O12" s="133"/>
    </row>
    <row r="13" spans="1:26" ht="13.5" customHeight="1">
      <c r="A13" s="120"/>
      <c r="D13" s="223" t="s">
        <v>43</v>
      </c>
      <c r="E13" s="197"/>
      <c r="F13" s="197"/>
      <c r="G13" s="197"/>
      <c r="H13" s="197"/>
      <c r="I13" s="197"/>
      <c r="J13" s="213">
        <v>22</v>
      </c>
      <c r="K13" s="198"/>
      <c r="L13" s="28"/>
      <c r="M13" s="28"/>
      <c r="N13" s="28"/>
      <c r="O13" s="133"/>
    </row>
    <row r="14" spans="1:26" ht="13.5" customHeight="1">
      <c r="A14" s="120"/>
      <c r="D14" s="228" t="s">
        <v>44</v>
      </c>
      <c r="E14" s="197"/>
      <c r="F14" s="197"/>
      <c r="G14" s="197"/>
      <c r="H14" s="197"/>
      <c r="I14" s="197"/>
      <c r="J14" s="206">
        <v>105</v>
      </c>
      <c r="K14" s="198"/>
      <c r="L14" s="28"/>
      <c r="M14" s="28"/>
      <c r="N14" s="28"/>
      <c r="O14" s="133"/>
    </row>
    <row r="15" spans="1:26" ht="13.5" customHeight="1">
      <c r="A15" s="120"/>
      <c r="D15" s="223" t="s">
        <v>45</v>
      </c>
      <c r="E15" s="197"/>
      <c r="F15" s="197"/>
      <c r="G15" s="197"/>
      <c r="H15" s="197"/>
      <c r="I15" s="197"/>
      <c r="J15" s="213">
        <v>0</v>
      </c>
      <c r="K15" s="198"/>
      <c r="L15" s="28"/>
      <c r="M15" s="28"/>
      <c r="N15" s="28"/>
      <c r="O15" s="133"/>
    </row>
    <row r="16" spans="1:26" ht="13.5" customHeight="1">
      <c r="A16" s="120"/>
      <c r="D16" s="228" t="s">
        <v>46</v>
      </c>
      <c r="E16" s="197"/>
      <c r="F16" s="197"/>
      <c r="G16" s="197"/>
      <c r="H16" s="197"/>
      <c r="I16" s="197"/>
      <c r="J16" s="206">
        <v>0</v>
      </c>
      <c r="K16" s="198"/>
      <c r="L16" s="28"/>
      <c r="M16" s="28"/>
      <c r="N16" s="28"/>
      <c r="O16" s="133"/>
    </row>
    <row r="17" spans="1:15" ht="7.5" customHeight="1">
      <c r="A17" s="120"/>
      <c r="D17" s="29"/>
      <c r="E17" s="29"/>
      <c r="F17" s="29"/>
      <c r="G17" s="29"/>
      <c r="H17" s="29"/>
      <c r="I17" s="29"/>
      <c r="J17" s="30"/>
      <c r="K17" s="30"/>
      <c r="L17" s="28"/>
      <c r="M17" s="28"/>
      <c r="N17" s="28"/>
      <c r="O17" s="133"/>
    </row>
    <row r="18" spans="1:15" ht="13.5" customHeight="1">
      <c r="A18" s="120"/>
      <c r="C18" s="232" t="s">
        <v>47</v>
      </c>
      <c r="D18" s="181"/>
      <c r="E18" s="181"/>
      <c r="F18" s="181"/>
      <c r="G18" s="181"/>
      <c r="H18" s="28"/>
      <c r="I18" s="28"/>
      <c r="J18" s="28"/>
      <c r="K18" s="28"/>
      <c r="L18" s="28"/>
      <c r="M18" s="28"/>
      <c r="N18" s="28"/>
      <c r="O18" s="133"/>
    </row>
    <row r="19" spans="1:15" ht="13.5" customHeight="1">
      <c r="A19" s="120"/>
      <c r="D19" s="227" t="s">
        <v>48</v>
      </c>
      <c r="E19" s="197"/>
      <c r="F19" s="197"/>
      <c r="G19" s="197"/>
      <c r="H19" s="197"/>
      <c r="I19" s="197"/>
      <c r="J19" s="206"/>
      <c r="K19" s="198"/>
      <c r="L19" s="28"/>
      <c r="M19" s="28"/>
      <c r="N19" s="28"/>
      <c r="O19" s="133"/>
    </row>
    <row r="20" spans="1:15" ht="13.5" customHeight="1">
      <c r="A20" s="120"/>
      <c r="D20" s="230" t="s">
        <v>49</v>
      </c>
      <c r="E20" s="197"/>
      <c r="F20" s="197"/>
      <c r="G20" s="197"/>
      <c r="H20" s="197"/>
      <c r="I20" s="197"/>
      <c r="J20" s="213"/>
      <c r="K20" s="198"/>
      <c r="L20" s="28"/>
      <c r="M20" s="28"/>
      <c r="N20" s="28"/>
      <c r="O20" s="133"/>
    </row>
    <row r="21" spans="1:15" ht="13.5" customHeight="1">
      <c r="A21" s="120"/>
      <c r="D21" s="227" t="s">
        <v>50</v>
      </c>
      <c r="E21" s="197"/>
      <c r="F21" s="197"/>
      <c r="G21" s="197"/>
      <c r="H21" s="197"/>
      <c r="I21" s="197"/>
      <c r="J21" s="206">
        <v>8</v>
      </c>
      <c r="K21" s="198"/>
      <c r="L21" s="28"/>
      <c r="M21" s="28"/>
      <c r="N21" s="28"/>
      <c r="O21" s="133"/>
    </row>
    <row r="22" spans="1:15" ht="13.5" customHeight="1">
      <c r="A22" s="120"/>
      <c r="D22" s="230" t="s">
        <v>51</v>
      </c>
      <c r="E22" s="197"/>
      <c r="F22" s="197"/>
      <c r="G22" s="197"/>
      <c r="H22" s="197"/>
      <c r="I22" s="197"/>
      <c r="J22" s="213"/>
      <c r="K22" s="198"/>
      <c r="L22" s="28"/>
      <c r="M22" s="28"/>
      <c r="N22" s="28"/>
      <c r="O22" s="133"/>
    </row>
    <row r="23" spans="1:15" ht="13.5" customHeight="1">
      <c r="A23" s="120"/>
      <c r="D23" s="227" t="s">
        <v>52</v>
      </c>
      <c r="E23" s="197"/>
      <c r="F23" s="197"/>
      <c r="G23" s="197"/>
      <c r="H23" s="197"/>
      <c r="I23" s="197"/>
      <c r="J23" s="206"/>
      <c r="K23" s="198"/>
      <c r="L23" s="28"/>
      <c r="M23" s="28"/>
      <c r="N23" s="28"/>
      <c r="O23" s="133"/>
    </row>
    <row r="24" spans="1:15" ht="13.5" customHeight="1">
      <c r="A24" s="120"/>
      <c r="D24" s="230" t="s">
        <v>53</v>
      </c>
      <c r="E24" s="197"/>
      <c r="F24" s="197"/>
      <c r="G24" s="197"/>
      <c r="H24" s="197"/>
      <c r="I24" s="197"/>
      <c r="J24" s="213">
        <v>24</v>
      </c>
      <c r="K24" s="198"/>
      <c r="L24" s="28"/>
      <c r="M24" s="28"/>
      <c r="N24" s="28"/>
      <c r="O24" s="133"/>
    </row>
    <row r="25" spans="1:15" ht="13.5" customHeight="1">
      <c r="A25" s="120"/>
      <c r="D25" s="227" t="s">
        <v>54</v>
      </c>
      <c r="E25" s="197"/>
      <c r="F25" s="197"/>
      <c r="G25" s="197"/>
      <c r="H25" s="197"/>
      <c r="I25" s="197"/>
      <c r="J25" s="206"/>
      <c r="K25" s="198"/>
      <c r="L25" s="28"/>
      <c r="M25" s="28"/>
      <c r="N25" s="28"/>
      <c r="O25" s="133"/>
    </row>
    <row r="26" spans="1:15" ht="13.5" customHeight="1">
      <c r="A26" s="120"/>
      <c r="D26" s="231" t="s">
        <v>27</v>
      </c>
      <c r="E26" s="197"/>
      <c r="F26" s="197"/>
      <c r="G26" s="197"/>
      <c r="H26" s="197"/>
      <c r="I26" s="198"/>
      <c r="J26" s="215">
        <f>SUM(J19:K25)</f>
        <v>32</v>
      </c>
      <c r="K26" s="198"/>
      <c r="L26" s="28"/>
      <c r="M26" s="28"/>
      <c r="N26" s="28"/>
      <c r="O26" s="133"/>
    </row>
    <row r="27" spans="1:15" ht="7.5" customHeight="1">
      <c r="A27" s="120"/>
      <c r="E27" s="28"/>
      <c r="F27" s="28"/>
      <c r="G27" s="28"/>
      <c r="H27" s="28"/>
      <c r="I27" s="28"/>
      <c r="J27" s="28"/>
      <c r="K27" s="28"/>
      <c r="L27" s="28"/>
      <c r="M27" s="28"/>
      <c r="N27" s="28"/>
      <c r="O27" s="133"/>
    </row>
    <row r="28" spans="1:15" ht="13.5" customHeight="1">
      <c r="A28" s="120"/>
      <c r="C28" s="226" t="s">
        <v>55</v>
      </c>
      <c r="D28" s="181"/>
      <c r="E28" s="181"/>
      <c r="F28" s="181"/>
      <c r="G28" s="181"/>
      <c r="H28" s="28"/>
      <c r="I28" s="28"/>
      <c r="J28" s="28"/>
      <c r="K28" s="28"/>
      <c r="L28" s="28"/>
      <c r="M28" s="28"/>
      <c r="N28" s="28"/>
      <c r="O28" s="133"/>
    </row>
    <row r="29" spans="1:15" ht="13.5" customHeight="1">
      <c r="A29" s="120"/>
      <c r="C29" s="5"/>
      <c r="D29" s="227" t="s">
        <v>56</v>
      </c>
      <c r="E29" s="197"/>
      <c r="F29" s="197"/>
      <c r="G29" s="197"/>
      <c r="H29" s="197"/>
      <c r="I29" s="198"/>
      <c r="J29" s="206"/>
      <c r="K29" s="198"/>
      <c r="L29" s="28"/>
      <c r="M29" s="28"/>
      <c r="N29" s="28"/>
      <c r="O29" s="133"/>
    </row>
    <row r="30" spans="1:15" ht="7.5" customHeight="1">
      <c r="A30" s="120"/>
      <c r="E30" s="28"/>
      <c r="F30" s="28"/>
      <c r="G30" s="28"/>
      <c r="H30" s="28"/>
      <c r="I30" s="28"/>
      <c r="J30" s="28"/>
      <c r="K30" s="28"/>
      <c r="L30" s="28"/>
      <c r="M30" s="28"/>
      <c r="N30" s="28"/>
      <c r="O30" s="133"/>
    </row>
    <row r="31" spans="1:15" ht="18" customHeight="1">
      <c r="A31" s="120"/>
      <c r="C31" s="217" t="s">
        <v>57</v>
      </c>
      <c r="D31" s="181"/>
      <c r="E31" s="181"/>
      <c r="F31" s="181"/>
      <c r="G31" s="28"/>
      <c r="H31" s="28"/>
      <c r="I31" s="28"/>
      <c r="J31" s="28"/>
      <c r="K31" s="28"/>
      <c r="L31" s="28"/>
      <c r="M31" s="28"/>
      <c r="N31" s="28"/>
      <c r="O31" s="133"/>
    </row>
    <row r="32" spans="1:15" ht="13.5" customHeight="1">
      <c r="A32" s="120"/>
      <c r="D32" s="228" t="s">
        <v>25</v>
      </c>
      <c r="E32" s="197"/>
      <c r="F32" s="197"/>
      <c r="G32" s="197"/>
      <c r="H32" s="197"/>
      <c r="I32" s="198"/>
      <c r="J32" s="229">
        <v>390</v>
      </c>
      <c r="K32" s="198"/>
      <c r="L32" s="28"/>
      <c r="M32" s="28"/>
      <c r="N32" s="28"/>
      <c r="O32" s="133"/>
    </row>
    <row r="33" spans="1:15" ht="13.5" customHeight="1">
      <c r="A33" s="120"/>
      <c r="D33" s="223" t="s">
        <v>26</v>
      </c>
      <c r="E33" s="197"/>
      <c r="F33" s="197"/>
      <c r="G33" s="197"/>
      <c r="H33" s="197"/>
      <c r="I33" s="198"/>
      <c r="J33" s="216">
        <v>119</v>
      </c>
      <c r="K33" s="198"/>
      <c r="L33" s="28"/>
      <c r="M33" s="28"/>
      <c r="N33" s="28"/>
      <c r="O33" s="133"/>
    </row>
    <row r="34" spans="1:15" ht="13.5" customHeight="1">
      <c r="A34" s="120"/>
      <c r="D34" s="224" t="s">
        <v>27</v>
      </c>
      <c r="E34" s="197"/>
      <c r="F34" s="197"/>
      <c r="G34" s="197"/>
      <c r="H34" s="197"/>
      <c r="I34" s="198"/>
      <c r="J34" s="225">
        <f>SUM(J32:K33)</f>
        <v>509</v>
      </c>
      <c r="K34" s="198"/>
      <c r="L34" s="28"/>
      <c r="M34" s="28"/>
      <c r="N34" s="28"/>
      <c r="O34" s="133"/>
    </row>
    <row r="35" spans="1:15" ht="7.5" customHeight="1">
      <c r="A35" s="120"/>
      <c r="E35" s="28"/>
      <c r="F35" s="28"/>
      <c r="G35" s="28"/>
      <c r="H35" s="28"/>
      <c r="I35" s="28"/>
      <c r="J35" s="28"/>
      <c r="K35" s="28"/>
      <c r="L35" s="28"/>
      <c r="M35" s="28"/>
      <c r="N35" s="28"/>
      <c r="O35" s="133"/>
    </row>
    <row r="36" spans="1:15" ht="15.75" customHeight="1">
      <c r="A36" s="120"/>
      <c r="C36" s="217" t="s">
        <v>28</v>
      </c>
      <c r="D36" s="181"/>
      <c r="E36" s="181"/>
      <c r="F36" s="181"/>
      <c r="G36" s="181"/>
      <c r="H36" s="28"/>
      <c r="I36" s="28"/>
      <c r="J36" s="28"/>
      <c r="K36" s="28"/>
      <c r="L36" s="28"/>
      <c r="M36" s="28"/>
      <c r="N36" s="28"/>
      <c r="O36" s="133"/>
    </row>
    <row r="37" spans="1:15" ht="13.5" customHeight="1">
      <c r="A37" s="120"/>
      <c r="D37" s="228" t="s">
        <v>29</v>
      </c>
      <c r="E37" s="197"/>
      <c r="F37" s="197"/>
      <c r="G37" s="197"/>
      <c r="H37" s="197"/>
      <c r="I37" s="197"/>
      <c r="J37" s="206">
        <v>187</v>
      </c>
      <c r="K37" s="198"/>
      <c r="L37" s="28"/>
      <c r="M37" s="28"/>
      <c r="N37" s="28"/>
      <c r="O37" s="133"/>
    </row>
    <row r="38" spans="1:15" ht="13.5" customHeight="1">
      <c r="A38" s="132"/>
      <c r="D38" s="223" t="s">
        <v>30</v>
      </c>
      <c r="E38" s="197"/>
      <c r="F38" s="197"/>
      <c r="G38" s="197"/>
      <c r="H38" s="197"/>
      <c r="I38" s="197"/>
      <c r="J38" s="213">
        <v>0</v>
      </c>
      <c r="K38" s="198"/>
      <c r="L38" s="28"/>
      <c r="M38" s="28"/>
      <c r="N38" s="28"/>
      <c r="O38" s="133"/>
    </row>
    <row r="39" spans="1:15" ht="13.5" customHeight="1">
      <c r="A39" s="120"/>
      <c r="B39" s="5"/>
      <c r="D39" s="228" t="s">
        <v>31</v>
      </c>
      <c r="E39" s="197"/>
      <c r="F39" s="197"/>
      <c r="G39" s="197"/>
      <c r="H39" s="197"/>
      <c r="I39" s="197"/>
      <c r="J39" s="206">
        <v>263</v>
      </c>
      <c r="K39" s="198"/>
      <c r="L39" s="28"/>
      <c r="M39" s="28"/>
      <c r="N39" s="28"/>
      <c r="O39" s="133"/>
    </row>
    <row r="40" spans="1:15" ht="13.5" customHeight="1">
      <c r="A40" s="120"/>
      <c r="B40" s="5"/>
      <c r="D40" s="223" t="s">
        <v>32</v>
      </c>
      <c r="E40" s="197"/>
      <c r="F40" s="197"/>
      <c r="G40" s="197"/>
      <c r="H40" s="197"/>
      <c r="I40" s="197"/>
      <c r="J40" s="213">
        <v>26</v>
      </c>
      <c r="K40" s="198"/>
      <c r="L40" s="28"/>
      <c r="M40" s="28"/>
      <c r="N40" s="28"/>
      <c r="O40" s="133"/>
    </row>
    <row r="41" spans="1:15" ht="13.5" customHeight="1">
      <c r="A41" s="120"/>
      <c r="B41" s="5"/>
      <c r="D41" s="228" t="s">
        <v>33</v>
      </c>
      <c r="E41" s="197"/>
      <c r="F41" s="197"/>
      <c r="G41" s="197"/>
      <c r="H41" s="197"/>
      <c r="I41" s="197"/>
      <c r="J41" s="206">
        <v>0</v>
      </c>
      <c r="K41" s="198"/>
      <c r="L41" s="28"/>
      <c r="M41" s="28"/>
      <c r="N41" s="28"/>
      <c r="O41" s="133"/>
    </row>
    <row r="42" spans="1:15" ht="13.5" customHeight="1">
      <c r="A42" s="120"/>
      <c r="B42" s="5"/>
      <c r="D42" s="223" t="s">
        <v>34</v>
      </c>
      <c r="E42" s="197"/>
      <c r="F42" s="197"/>
      <c r="G42" s="197"/>
      <c r="H42" s="197"/>
      <c r="I42" s="197"/>
      <c r="J42" s="213">
        <v>0</v>
      </c>
      <c r="K42" s="198"/>
      <c r="L42" s="28"/>
      <c r="M42" s="28"/>
      <c r="N42" s="28"/>
      <c r="O42" s="133"/>
    </row>
    <row r="43" spans="1:15" ht="13.5" customHeight="1">
      <c r="A43" s="120"/>
      <c r="B43" s="5"/>
      <c r="D43" s="228" t="s">
        <v>35</v>
      </c>
      <c r="E43" s="197"/>
      <c r="F43" s="197"/>
      <c r="G43" s="197"/>
      <c r="H43" s="197"/>
      <c r="I43" s="197"/>
      <c r="J43" s="206">
        <v>33</v>
      </c>
      <c r="K43" s="198"/>
      <c r="L43" s="28"/>
      <c r="M43" s="28"/>
      <c r="N43" s="28"/>
      <c r="O43" s="133"/>
    </row>
    <row r="44" spans="1:15" ht="13.5" customHeight="1">
      <c r="A44" s="120"/>
      <c r="D44" s="224" t="s">
        <v>27</v>
      </c>
      <c r="E44" s="197"/>
      <c r="F44" s="197"/>
      <c r="G44" s="197"/>
      <c r="H44" s="197"/>
      <c r="I44" s="197"/>
      <c r="J44" s="215">
        <f>SUM(J37:K43)</f>
        <v>509</v>
      </c>
      <c r="K44" s="198"/>
      <c r="L44" s="28"/>
      <c r="M44" s="28"/>
      <c r="N44" s="28"/>
      <c r="O44" s="133"/>
    </row>
    <row r="45" spans="1:15" ht="6.75" customHeight="1">
      <c r="A45" s="126"/>
      <c r="B45" s="128"/>
      <c r="C45" s="128"/>
      <c r="D45" s="128"/>
      <c r="E45" s="134"/>
      <c r="F45" s="134"/>
      <c r="G45" s="134"/>
      <c r="H45" s="134"/>
      <c r="I45" s="134"/>
      <c r="J45" s="134"/>
      <c r="K45" s="134"/>
      <c r="L45" s="134"/>
      <c r="M45" s="134"/>
      <c r="N45" s="134"/>
      <c r="O45" s="135"/>
    </row>
    <row r="46" spans="1:15" ht="7.5" customHeight="1">
      <c r="C46" s="5"/>
      <c r="D46" s="5"/>
      <c r="E46" s="28"/>
      <c r="F46" s="28"/>
      <c r="G46" s="28"/>
      <c r="H46" s="28"/>
      <c r="I46" s="28"/>
      <c r="J46" s="28"/>
      <c r="K46" s="28"/>
      <c r="L46" s="28"/>
      <c r="M46" s="28"/>
      <c r="N46" s="28"/>
      <c r="O46" s="28"/>
    </row>
    <row r="47" spans="1:15" ht="13.5" customHeight="1">
      <c r="A47" s="20" t="s">
        <v>36</v>
      </c>
    </row>
    <row r="48" spans="1:15" ht="13.5" customHeight="1">
      <c r="A48" s="207" t="s">
        <v>947</v>
      </c>
      <c r="B48" s="177"/>
      <c r="C48" s="177"/>
      <c r="D48" s="177"/>
      <c r="E48" s="177"/>
      <c r="F48" s="177"/>
      <c r="G48" s="177"/>
      <c r="H48" s="177"/>
      <c r="I48" s="177"/>
      <c r="J48" s="177"/>
      <c r="K48" s="177"/>
      <c r="L48" s="177"/>
      <c r="M48" s="177"/>
      <c r="N48" s="177"/>
      <c r="O48" s="178"/>
    </row>
    <row r="49" spans="1:26" ht="13.5" customHeight="1">
      <c r="A49" s="183"/>
      <c r="B49" s="181"/>
      <c r="C49" s="181"/>
      <c r="D49" s="181"/>
      <c r="E49" s="181"/>
      <c r="F49" s="181"/>
      <c r="G49" s="181"/>
      <c r="H49" s="181"/>
      <c r="I49" s="181"/>
      <c r="J49" s="181"/>
      <c r="K49" s="181"/>
      <c r="L49" s="181"/>
      <c r="M49" s="181"/>
      <c r="N49" s="181"/>
      <c r="O49" s="182"/>
    </row>
    <row r="50" spans="1:26" ht="13.5" customHeight="1">
      <c r="A50" s="183"/>
      <c r="B50" s="181"/>
      <c r="C50" s="181"/>
      <c r="D50" s="181"/>
      <c r="E50" s="181"/>
      <c r="F50" s="181"/>
      <c r="G50" s="181"/>
      <c r="H50" s="181"/>
      <c r="I50" s="181"/>
      <c r="J50" s="181"/>
      <c r="K50" s="181"/>
      <c r="L50" s="181"/>
      <c r="M50" s="181"/>
      <c r="N50" s="181"/>
      <c r="O50" s="182"/>
    </row>
    <row r="51" spans="1:26" ht="13.5" customHeight="1">
      <c r="A51" s="183"/>
      <c r="B51" s="181"/>
      <c r="C51" s="181"/>
      <c r="D51" s="181"/>
      <c r="E51" s="181"/>
      <c r="F51" s="181"/>
      <c r="G51" s="181"/>
      <c r="H51" s="181"/>
      <c r="I51" s="181"/>
      <c r="J51" s="181"/>
      <c r="K51" s="181"/>
      <c r="L51" s="181"/>
      <c r="M51" s="181"/>
      <c r="N51" s="181"/>
      <c r="O51" s="182"/>
    </row>
    <row r="52" spans="1:26" ht="7.5" customHeight="1">
      <c r="A52" s="183"/>
      <c r="B52" s="181"/>
      <c r="C52" s="181"/>
      <c r="D52" s="181"/>
      <c r="E52" s="181"/>
      <c r="F52" s="181"/>
      <c r="G52" s="181"/>
      <c r="H52" s="181"/>
      <c r="I52" s="181"/>
      <c r="J52" s="181"/>
      <c r="K52" s="181"/>
      <c r="L52" s="181"/>
      <c r="M52" s="181"/>
      <c r="N52" s="181"/>
      <c r="O52" s="182"/>
    </row>
    <row r="53" spans="1:26" ht="7.5" customHeight="1">
      <c r="A53" s="183"/>
      <c r="B53" s="181"/>
      <c r="C53" s="181"/>
      <c r="D53" s="181"/>
      <c r="E53" s="181"/>
      <c r="F53" s="181"/>
      <c r="G53" s="181"/>
      <c r="H53" s="181"/>
      <c r="I53" s="181"/>
      <c r="J53" s="181"/>
      <c r="K53" s="181"/>
      <c r="L53" s="181"/>
      <c r="M53" s="181"/>
      <c r="N53" s="181"/>
      <c r="O53" s="182"/>
    </row>
    <row r="54" spans="1:26" ht="7.5" customHeight="1">
      <c r="A54" s="201"/>
      <c r="B54" s="188"/>
      <c r="C54" s="188"/>
      <c r="D54" s="188"/>
      <c r="E54" s="188"/>
      <c r="F54" s="188"/>
      <c r="G54" s="188"/>
      <c r="H54" s="188"/>
      <c r="I54" s="188"/>
      <c r="J54" s="188"/>
      <c r="K54" s="188"/>
      <c r="L54" s="188"/>
      <c r="M54" s="188"/>
      <c r="N54" s="188"/>
      <c r="O54" s="189"/>
    </row>
    <row r="55" spans="1:26" ht="7.5" customHeight="1">
      <c r="A55" s="31"/>
      <c r="B55" s="31"/>
      <c r="C55" s="31"/>
      <c r="D55" s="31"/>
      <c r="E55" s="31"/>
      <c r="F55" s="31"/>
      <c r="G55" s="31"/>
      <c r="H55" s="31"/>
      <c r="I55" s="31"/>
      <c r="J55" s="31"/>
      <c r="K55" s="31"/>
      <c r="L55" s="31"/>
      <c r="M55" s="31"/>
      <c r="N55" s="31"/>
      <c r="O55" s="31"/>
    </row>
    <row r="56" spans="1:26" ht="18" customHeight="1">
      <c r="A56" s="32" t="s">
        <v>58</v>
      </c>
      <c r="B56" s="33"/>
      <c r="C56" s="33"/>
      <c r="D56" s="33"/>
      <c r="E56" s="33"/>
      <c r="F56" s="85"/>
      <c r="G56" s="33"/>
      <c r="H56" s="33"/>
      <c r="I56" s="33"/>
      <c r="J56" s="33"/>
      <c r="K56" s="34"/>
      <c r="L56" s="20"/>
      <c r="M56" s="20"/>
      <c r="N56" s="35"/>
      <c r="O56" s="35"/>
      <c r="P56" s="20"/>
      <c r="Q56" s="20"/>
      <c r="R56" s="20"/>
      <c r="S56" s="20"/>
      <c r="T56" s="20"/>
      <c r="U56" s="20"/>
      <c r="V56" s="20"/>
      <c r="W56" s="20"/>
      <c r="X56" s="20"/>
      <c r="Y56" s="20"/>
      <c r="Z56" s="20"/>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O26" sqref="O26"/>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49" t="s">
        <v>17</v>
      </c>
      <c r="B1" s="197"/>
      <c r="C1" s="197"/>
      <c r="D1" s="197"/>
      <c r="E1" s="197"/>
      <c r="F1" s="197"/>
      <c r="G1" s="219" t="str">
        <f>'CONTACT INFORMATION'!$A$24</f>
        <v>San Francisco</v>
      </c>
      <c r="H1" s="197"/>
      <c r="I1" s="198"/>
    </row>
    <row r="2" spans="1:26" ht="13.5" customHeight="1">
      <c r="A2" s="36"/>
      <c r="B2" s="36"/>
      <c r="C2" s="36"/>
      <c r="D2" s="36"/>
      <c r="E2" s="36"/>
      <c r="F2" s="36"/>
      <c r="G2" s="37"/>
      <c r="H2" s="37"/>
      <c r="I2" s="37"/>
    </row>
    <row r="3" spans="1:26" ht="12.75" customHeight="1">
      <c r="A3" s="242" t="s">
        <v>59</v>
      </c>
      <c r="B3" s="177"/>
      <c r="C3" s="177"/>
      <c r="D3" s="177"/>
      <c r="E3" s="177"/>
      <c r="F3" s="177"/>
      <c r="G3" s="177"/>
      <c r="H3" s="177"/>
      <c r="I3" s="178"/>
      <c r="J3" s="38"/>
      <c r="K3" s="38"/>
      <c r="L3" s="38"/>
      <c r="M3" s="38"/>
      <c r="N3" s="38"/>
      <c r="O3" s="38"/>
      <c r="P3" s="38"/>
      <c r="Q3" s="38"/>
      <c r="R3" s="38"/>
      <c r="S3" s="38"/>
      <c r="T3" s="38"/>
      <c r="U3" s="38"/>
      <c r="V3" s="38"/>
      <c r="W3" s="38"/>
      <c r="X3" s="38"/>
      <c r="Y3" s="38"/>
      <c r="Z3" s="38"/>
    </row>
    <row r="4" spans="1:26" ht="12.75" customHeight="1">
      <c r="A4" s="250" t="s">
        <v>60</v>
      </c>
      <c r="B4" s="192"/>
      <c r="C4" s="192"/>
      <c r="D4" s="192"/>
      <c r="E4" s="192"/>
      <c r="F4" s="192"/>
      <c r="G4" s="192"/>
      <c r="H4" s="192"/>
      <c r="I4" s="182"/>
      <c r="J4" s="38"/>
      <c r="K4" s="38"/>
      <c r="L4" s="38"/>
      <c r="M4" s="38"/>
      <c r="N4" s="38"/>
      <c r="O4" s="38"/>
      <c r="P4" s="38"/>
      <c r="Q4" s="38"/>
      <c r="R4" s="38"/>
      <c r="S4" s="38"/>
      <c r="T4" s="38"/>
      <c r="U4" s="38"/>
      <c r="V4" s="38"/>
      <c r="W4" s="38"/>
      <c r="X4" s="38"/>
      <c r="Y4" s="38"/>
      <c r="Z4" s="38"/>
    </row>
    <row r="5" spans="1:26" ht="21" customHeight="1">
      <c r="A5" s="251" t="s">
        <v>61</v>
      </c>
      <c r="B5" s="252"/>
      <c r="C5" s="252"/>
      <c r="D5" s="252"/>
      <c r="E5" s="252"/>
      <c r="F5" s="252"/>
      <c r="G5" s="252"/>
      <c r="H5" s="252"/>
      <c r="I5" s="253"/>
      <c r="J5" s="39"/>
      <c r="K5" s="39"/>
      <c r="L5" s="39"/>
      <c r="M5" s="39"/>
      <c r="N5" s="39"/>
      <c r="O5" s="39"/>
      <c r="P5" s="39"/>
      <c r="Q5" s="39"/>
      <c r="R5" s="39"/>
      <c r="S5" s="39"/>
      <c r="T5" s="39"/>
      <c r="U5" s="39"/>
      <c r="V5" s="39"/>
      <c r="W5" s="39"/>
      <c r="X5" s="39"/>
      <c r="Y5" s="39"/>
      <c r="Z5" s="39"/>
    </row>
    <row r="6" spans="1:26" ht="12.75" customHeight="1">
      <c r="A6" s="120"/>
      <c r="B6" s="5"/>
      <c r="C6" s="15"/>
      <c r="D6" s="15"/>
      <c r="E6" s="15"/>
      <c r="F6" s="15"/>
      <c r="G6" s="16"/>
      <c r="H6" s="16"/>
      <c r="I6" s="136"/>
    </row>
    <row r="7" spans="1:26" ht="12.75" customHeight="1">
      <c r="A7" s="120"/>
      <c r="B7" s="5"/>
      <c r="C7" s="15"/>
      <c r="D7" s="15"/>
      <c r="E7" s="15"/>
      <c r="F7" s="15"/>
      <c r="G7" s="16"/>
      <c r="H7" s="16"/>
      <c r="I7" s="136"/>
    </row>
    <row r="8" spans="1:26" ht="12.75" customHeight="1">
      <c r="A8" s="120"/>
      <c r="B8" s="244" t="s">
        <v>62</v>
      </c>
      <c r="C8" s="181"/>
      <c r="D8" s="137"/>
      <c r="E8" s="247"/>
      <c r="F8" s="181"/>
      <c r="G8" s="181"/>
      <c r="H8" s="16"/>
      <c r="I8" s="136"/>
    </row>
    <row r="9" spans="1:26" ht="12.75" customHeight="1">
      <c r="A9" s="120"/>
      <c r="B9" s="124"/>
      <c r="C9" s="246" t="s">
        <v>63</v>
      </c>
      <c r="D9" s="197"/>
      <c r="E9" s="197"/>
      <c r="F9" s="198"/>
      <c r="G9" s="206">
        <v>559</v>
      </c>
      <c r="H9" s="198"/>
      <c r="I9" s="136"/>
    </row>
    <row r="10" spans="1:26" ht="12.75" customHeight="1">
      <c r="A10" s="120"/>
      <c r="B10" s="124"/>
      <c r="C10" s="248" t="s">
        <v>64</v>
      </c>
      <c r="D10" s="197"/>
      <c r="E10" s="197"/>
      <c r="F10" s="198"/>
      <c r="G10" s="213">
        <v>350</v>
      </c>
      <c r="H10" s="198"/>
      <c r="I10" s="136"/>
    </row>
    <row r="11" spans="1:26" ht="12.75" customHeight="1">
      <c r="A11" s="120"/>
      <c r="B11" s="124"/>
      <c r="C11" s="246" t="s">
        <v>65</v>
      </c>
      <c r="D11" s="197"/>
      <c r="E11" s="197"/>
      <c r="F11" s="198"/>
      <c r="G11" s="206">
        <v>112</v>
      </c>
      <c r="H11" s="198"/>
      <c r="I11" s="136"/>
    </row>
    <row r="12" spans="1:26" ht="12.75" customHeight="1">
      <c r="A12" s="120"/>
      <c r="B12" s="5"/>
      <c r="C12" s="214" t="s">
        <v>27</v>
      </c>
      <c r="D12" s="197"/>
      <c r="E12" s="197"/>
      <c r="F12" s="198"/>
      <c r="G12" s="239">
        <f>SUM(G9:H11)</f>
        <v>1021</v>
      </c>
      <c r="H12" s="198"/>
      <c r="I12" s="136"/>
    </row>
    <row r="13" spans="1:26" ht="12.75" customHeight="1">
      <c r="A13" s="120"/>
      <c r="B13" s="5"/>
      <c r="C13" s="15"/>
      <c r="D13" s="15"/>
      <c r="E13" s="15"/>
      <c r="F13" s="15"/>
      <c r="G13" s="16"/>
      <c r="H13" s="16"/>
      <c r="I13" s="136"/>
    </row>
    <row r="14" spans="1:26" ht="12.75" customHeight="1">
      <c r="A14" s="120"/>
      <c r="C14" s="13"/>
      <c r="D14" s="13"/>
      <c r="E14" s="13"/>
      <c r="F14" s="13"/>
      <c r="G14" s="14"/>
      <c r="H14" s="14"/>
      <c r="I14" s="121"/>
    </row>
    <row r="15" spans="1:26" ht="12.75" customHeight="1">
      <c r="A15" s="122"/>
      <c r="B15" s="226" t="s">
        <v>24</v>
      </c>
      <c r="C15" s="181"/>
      <c r="D15" s="181"/>
      <c r="E15" s="181"/>
      <c r="F15" s="181"/>
      <c r="G15" s="181"/>
      <c r="H15" s="181"/>
      <c r="I15" s="182"/>
    </row>
    <row r="16" spans="1:26" ht="12.75" customHeight="1">
      <c r="A16" s="120"/>
      <c r="C16" s="211" t="s">
        <v>25</v>
      </c>
      <c r="D16" s="197"/>
      <c r="E16" s="197"/>
      <c r="F16" s="198"/>
      <c r="G16" s="206">
        <v>753</v>
      </c>
      <c r="H16" s="198"/>
      <c r="I16" s="121"/>
    </row>
    <row r="17" spans="1:9" ht="12.75" customHeight="1">
      <c r="A17" s="120"/>
      <c r="C17" s="212" t="s">
        <v>26</v>
      </c>
      <c r="D17" s="197"/>
      <c r="E17" s="197"/>
      <c r="F17" s="198"/>
      <c r="G17" s="213">
        <v>268</v>
      </c>
      <c r="H17" s="198"/>
      <c r="I17" s="121"/>
    </row>
    <row r="18" spans="1:9" ht="12.75" customHeight="1">
      <c r="A18" s="120"/>
      <c r="C18" s="214" t="s">
        <v>27</v>
      </c>
      <c r="D18" s="197"/>
      <c r="E18" s="197"/>
      <c r="F18" s="198"/>
      <c r="G18" s="215">
        <f>SUM(G16:H17)</f>
        <v>1021</v>
      </c>
      <c r="H18" s="198"/>
      <c r="I18" s="121"/>
    </row>
    <row r="19" spans="1:9" ht="12.75" customHeight="1">
      <c r="A19" s="120"/>
      <c r="C19" s="40"/>
      <c r="D19" s="40"/>
      <c r="E19" s="40"/>
      <c r="F19" s="40"/>
      <c r="G19" s="28"/>
      <c r="H19" s="28"/>
      <c r="I19" s="121"/>
    </row>
    <row r="20" spans="1:9" ht="12.75" customHeight="1">
      <c r="A20" s="120"/>
      <c r="C20" s="14"/>
      <c r="D20" s="14"/>
      <c r="E20" s="14"/>
      <c r="F20" s="14"/>
      <c r="G20" s="14"/>
      <c r="H20" s="14"/>
      <c r="I20" s="121"/>
    </row>
    <row r="21" spans="1:9" ht="12.75" customHeight="1">
      <c r="A21" s="122"/>
      <c r="B21" s="81" t="s">
        <v>28</v>
      </c>
      <c r="C21" s="81"/>
      <c r="D21" s="81"/>
      <c r="E21" s="81"/>
      <c r="F21" s="81"/>
      <c r="G21" s="124"/>
      <c r="H21" s="124"/>
      <c r="I21" s="138"/>
    </row>
    <row r="22" spans="1:9" ht="12.75" customHeight="1">
      <c r="A22" s="120"/>
      <c r="C22" s="211" t="s">
        <v>31</v>
      </c>
      <c r="D22" s="197"/>
      <c r="E22" s="197"/>
      <c r="F22" s="198"/>
      <c r="G22" s="206">
        <v>433</v>
      </c>
      <c r="H22" s="198"/>
      <c r="I22" s="121"/>
    </row>
    <row r="23" spans="1:9" ht="12.75" customHeight="1">
      <c r="A23" s="120"/>
      <c r="C23" s="212" t="s">
        <v>30</v>
      </c>
      <c r="D23" s="197"/>
      <c r="E23" s="197"/>
      <c r="F23" s="198"/>
      <c r="G23" s="213">
        <v>87</v>
      </c>
      <c r="H23" s="198"/>
      <c r="I23" s="121"/>
    </row>
    <row r="24" spans="1:9" ht="12.75" customHeight="1">
      <c r="A24" s="120"/>
      <c r="C24" s="211" t="s">
        <v>29</v>
      </c>
      <c r="D24" s="197"/>
      <c r="E24" s="197"/>
      <c r="F24" s="198"/>
      <c r="G24" s="206">
        <v>400</v>
      </c>
      <c r="H24" s="198"/>
      <c r="I24" s="121"/>
    </row>
    <row r="25" spans="1:9" ht="12.75" customHeight="1">
      <c r="A25" s="120"/>
      <c r="C25" s="212" t="s">
        <v>53</v>
      </c>
      <c r="D25" s="197"/>
      <c r="E25" s="197"/>
      <c r="F25" s="198"/>
      <c r="G25" s="213">
        <v>101</v>
      </c>
      <c r="H25" s="198"/>
      <c r="I25" s="121"/>
    </row>
    <row r="26" spans="1:9" ht="12.75" customHeight="1">
      <c r="A26" s="120"/>
      <c r="C26" s="214" t="s">
        <v>27</v>
      </c>
      <c r="D26" s="197"/>
      <c r="E26" s="197"/>
      <c r="F26" s="198"/>
      <c r="G26" s="215">
        <f>SUM(G22:H25)</f>
        <v>1021</v>
      </c>
      <c r="H26" s="198"/>
      <c r="I26" s="125"/>
    </row>
    <row r="27" spans="1:9" ht="12.75" customHeight="1">
      <c r="A27" s="120"/>
      <c r="D27" s="18"/>
      <c r="E27" s="18"/>
      <c r="F27" s="18"/>
      <c r="G27" s="18"/>
      <c r="H27" s="18"/>
      <c r="I27" s="125"/>
    </row>
    <row r="28" spans="1:9" ht="12.75" customHeight="1">
      <c r="A28" s="120"/>
      <c r="D28" s="18"/>
      <c r="E28" s="18"/>
      <c r="F28" s="18"/>
      <c r="G28" s="18"/>
      <c r="H28" s="18"/>
      <c r="I28" s="125"/>
    </row>
    <row r="29" spans="1:9" ht="12.75" customHeight="1">
      <c r="A29" s="126"/>
      <c r="B29" s="128"/>
      <c r="C29" s="128"/>
      <c r="D29" s="129"/>
      <c r="E29" s="129"/>
      <c r="F29" s="129"/>
      <c r="G29" s="129"/>
      <c r="H29" s="129"/>
      <c r="I29" s="130"/>
    </row>
    <row r="30" spans="1:9" ht="12.75" customHeight="1">
      <c r="D30" s="18"/>
      <c r="E30" s="18"/>
      <c r="F30" s="18"/>
      <c r="G30" s="18"/>
      <c r="H30" s="18"/>
      <c r="I30" s="18"/>
    </row>
    <row r="31" spans="1:9" ht="14.25" customHeight="1">
      <c r="A31" s="245" t="s">
        <v>36</v>
      </c>
      <c r="B31" s="181"/>
      <c r="C31" s="181"/>
      <c r="D31" s="181"/>
      <c r="E31" s="181"/>
      <c r="F31" s="181"/>
      <c r="G31" s="181"/>
      <c r="H31" s="181"/>
      <c r="I31" s="181"/>
    </row>
    <row r="32" spans="1:9" ht="13.5" customHeight="1">
      <c r="A32" s="188"/>
      <c r="B32" s="188"/>
      <c r="C32" s="188"/>
      <c r="D32" s="188"/>
      <c r="E32" s="188"/>
      <c r="F32" s="188"/>
      <c r="G32" s="188"/>
      <c r="H32" s="188"/>
      <c r="I32" s="188"/>
    </row>
    <row r="33" spans="1:9" ht="12.75" customHeight="1">
      <c r="A33" s="207" t="s">
        <v>927</v>
      </c>
      <c r="B33" s="177"/>
      <c r="C33" s="177"/>
      <c r="D33" s="177"/>
      <c r="E33" s="177"/>
      <c r="F33" s="177"/>
      <c r="G33" s="177"/>
      <c r="H33" s="177"/>
      <c r="I33" s="178"/>
    </row>
    <row r="34" spans="1:9" ht="12.75" customHeight="1">
      <c r="A34" s="183"/>
      <c r="B34" s="181"/>
      <c r="C34" s="181"/>
      <c r="D34" s="181"/>
      <c r="E34" s="181"/>
      <c r="F34" s="181"/>
      <c r="G34" s="181"/>
      <c r="H34" s="181"/>
      <c r="I34" s="182"/>
    </row>
    <row r="35" spans="1:9" ht="12.75" customHeight="1">
      <c r="A35" s="183"/>
      <c r="B35" s="181"/>
      <c r="C35" s="181"/>
      <c r="D35" s="181"/>
      <c r="E35" s="181"/>
      <c r="F35" s="181"/>
      <c r="G35" s="181"/>
      <c r="H35" s="181"/>
      <c r="I35" s="182"/>
    </row>
    <row r="36" spans="1:9" ht="12.75" customHeight="1">
      <c r="A36" s="183"/>
      <c r="B36" s="181"/>
      <c r="C36" s="181"/>
      <c r="D36" s="181"/>
      <c r="E36" s="181"/>
      <c r="F36" s="181"/>
      <c r="G36" s="181"/>
      <c r="H36" s="181"/>
      <c r="I36" s="182"/>
    </row>
    <row r="37" spans="1:9" ht="12.75" customHeight="1">
      <c r="A37" s="183"/>
      <c r="B37" s="181"/>
      <c r="C37" s="181"/>
      <c r="D37" s="181"/>
      <c r="E37" s="181"/>
      <c r="F37" s="181"/>
      <c r="G37" s="181"/>
      <c r="H37" s="181"/>
      <c r="I37" s="182"/>
    </row>
    <row r="38" spans="1:9" ht="12.75" customHeight="1">
      <c r="A38" s="183"/>
      <c r="B38" s="181"/>
      <c r="C38" s="181"/>
      <c r="D38" s="181"/>
      <c r="E38" s="181"/>
      <c r="F38" s="181"/>
      <c r="G38" s="181"/>
      <c r="H38" s="181"/>
      <c r="I38" s="182"/>
    </row>
    <row r="39" spans="1:9" ht="12.75" customHeight="1">
      <c r="A39" s="183"/>
      <c r="B39" s="181"/>
      <c r="C39" s="181"/>
      <c r="D39" s="181"/>
      <c r="E39" s="181"/>
      <c r="F39" s="181"/>
      <c r="G39" s="181"/>
      <c r="H39" s="181"/>
      <c r="I39" s="182"/>
    </row>
    <row r="40" spans="1:9" ht="12.75" customHeight="1">
      <c r="A40" s="183"/>
      <c r="B40" s="181"/>
      <c r="C40" s="181"/>
      <c r="D40" s="181"/>
      <c r="E40" s="181"/>
      <c r="F40" s="181"/>
      <c r="G40" s="181"/>
      <c r="H40" s="181"/>
      <c r="I40" s="182"/>
    </row>
    <row r="41" spans="1:9" ht="12.75" customHeight="1">
      <c r="A41" s="183"/>
      <c r="B41" s="181"/>
      <c r="C41" s="181"/>
      <c r="D41" s="181"/>
      <c r="E41" s="181"/>
      <c r="F41" s="181"/>
      <c r="G41" s="181"/>
      <c r="H41" s="181"/>
      <c r="I41" s="182"/>
    </row>
    <row r="42" spans="1:9" ht="12.75" customHeight="1">
      <c r="A42" s="183"/>
      <c r="B42" s="181"/>
      <c r="C42" s="181"/>
      <c r="D42" s="181"/>
      <c r="E42" s="181"/>
      <c r="F42" s="181"/>
      <c r="G42" s="181"/>
      <c r="H42" s="181"/>
      <c r="I42" s="182"/>
    </row>
    <row r="43" spans="1:9" ht="12.75" customHeight="1">
      <c r="A43" s="183"/>
      <c r="B43" s="181"/>
      <c r="C43" s="181"/>
      <c r="D43" s="181"/>
      <c r="E43" s="181"/>
      <c r="F43" s="181"/>
      <c r="G43" s="181"/>
      <c r="H43" s="181"/>
      <c r="I43" s="182"/>
    </row>
    <row r="44" spans="1:9" ht="12.75" customHeight="1">
      <c r="A44" s="183"/>
      <c r="B44" s="181"/>
      <c r="C44" s="181"/>
      <c r="D44" s="181"/>
      <c r="E44" s="181"/>
      <c r="F44" s="181"/>
      <c r="G44" s="181"/>
      <c r="H44" s="181"/>
      <c r="I44" s="182"/>
    </row>
    <row r="45" spans="1:9" ht="12.75" customHeight="1">
      <c r="A45" s="183"/>
      <c r="B45" s="181"/>
      <c r="C45" s="181"/>
      <c r="D45" s="181"/>
      <c r="E45" s="181"/>
      <c r="F45" s="181"/>
      <c r="G45" s="181"/>
      <c r="H45" s="181"/>
      <c r="I45" s="182"/>
    </row>
    <row r="46" spans="1:9" ht="12.75" customHeight="1">
      <c r="A46" s="183"/>
      <c r="B46" s="181"/>
      <c r="C46" s="181"/>
      <c r="D46" s="181"/>
      <c r="E46" s="181"/>
      <c r="F46" s="181"/>
      <c r="G46" s="181"/>
      <c r="H46" s="181"/>
      <c r="I46" s="182"/>
    </row>
    <row r="47" spans="1:9" ht="12.75" customHeight="1">
      <c r="A47" s="183"/>
      <c r="B47" s="181"/>
      <c r="C47" s="181"/>
      <c r="D47" s="181"/>
      <c r="E47" s="181"/>
      <c r="F47" s="181"/>
      <c r="G47" s="181"/>
      <c r="H47" s="181"/>
      <c r="I47" s="182"/>
    </row>
    <row r="48" spans="1:9" ht="12.75" customHeight="1">
      <c r="A48" s="183"/>
      <c r="B48" s="181"/>
      <c r="C48" s="181"/>
      <c r="D48" s="181"/>
      <c r="E48" s="181"/>
      <c r="F48" s="181"/>
      <c r="G48" s="181"/>
      <c r="H48" s="181"/>
      <c r="I48" s="182"/>
    </row>
    <row r="49" spans="1:9" ht="12.75" customHeight="1">
      <c r="A49" s="183"/>
      <c r="B49" s="181"/>
      <c r="C49" s="181"/>
      <c r="D49" s="181"/>
      <c r="E49" s="181"/>
      <c r="F49" s="181"/>
      <c r="G49" s="181"/>
      <c r="H49" s="181"/>
      <c r="I49" s="182"/>
    </row>
    <row r="50" spans="1:9" ht="12.75" customHeight="1">
      <c r="A50" s="201"/>
      <c r="B50" s="188"/>
      <c r="C50" s="188"/>
      <c r="D50" s="188"/>
      <c r="E50" s="188"/>
      <c r="F50" s="188"/>
      <c r="G50" s="188"/>
      <c r="H50" s="188"/>
      <c r="I50" s="18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opLeftCell="A50" workbookViewId="0">
      <selection activeCell="A8" sqref="A5:J56"/>
    </sheetView>
  </sheetViews>
  <sheetFormatPr defaultColWidth="12.54296875" defaultRowHeight="15" customHeight="1"/>
  <cols>
    <col min="1" max="26" width="9.1796875" customWidth="1"/>
  </cols>
  <sheetData>
    <row r="1" spans="1:15" ht="12.75" customHeight="1">
      <c r="A1" s="240" t="s">
        <v>66</v>
      </c>
      <c r="B1" s="197"/>
      <c r="C1" s="197"/>
      <c r="D1" s="197"/>
      <c r="E1" s="197"/>
      <c r="F1" s="197"/>
      <c r="G1" s="197"/>
      <c r="H1" s="241" t="str">
        <f>'CONTACT INFORMATION'!$A$24</f>
        <v>San Francisco</v>
      </c>
      <c r="I1" s="197"/>
      <c r="J1" s="198"/>
      <c r="K1" s="41"/>
      <c r="L1" s="20"/>
    </row>
    <row r="2" spans="1:15" ht="7.5" customHeight="1">
      <c r="A2" s="26"/>
      <c r="B2" s="26"/>
      <c r="C2" s="26"/>
      <c r="D2" s="26"/>
      <c r="E2" s="26"/>
      <c r="F2" s="26"/>
      <c r="G2" s="26"/>
      <c r="H2" s="26"/>
      <c r="I2" s="26"/>
      <c r="J2" s="26"/>
      <c r="K2" s="20"/>
      <c r="L2" s="20"/>
    </row>
    <row r="3" spans="1:15" ht="12.75" customHeight="1">
      <c r="A3" s="254" t="s">
        <v>67</v>
      </c>
      <c r="B3" s="177"/>
      <c r="C3" s="177"/>
      <c r="D3" s="177"/>
      <c r="E3" s="177"/>
      <c r="F3" s="177"/>
      <c r="G3" s="177"/>
      <c r="H3" s="177"/>
      <c r="I3" s="177"/>
      <c r="J3" s="178"/>
    </row>
    <row r="4" spans="1:15" ht="12.75" customHeight="1">
      <c r="A4" s="139"/>
      <c r="B4" s="42"/>
      <c r="C4" s="42"/>
      <c r="D4" s="42"/>
      <c r="E4" s="42"/>
      <c r="F4" s="42"/>
      <c r="G4" s="42"/>
      <c r="H4" s="42"/>
      <c r="I4" s="42"/>
      <c r="J4" s="140"/>
    </row>
    <row r="5" spans="1:15" ht="15" customHeight="1">
      <c r="A5" s="255" t="s">
        <v>68</v>
      </c>
      <c r="B5" s="177"/>
      <c r="C5" s="177"/>
      <c r="D5" s="177"/>
      <c r="E5" s="177"/>
      <c r="F5" s="177"/>
      <c r="G5" s="177"/>
      <c r="H5" s="177"/>
      <c r="I5" s="177"/>
      <c r="J5" s="178"/>
    </row>
    <row r="6" spans="1:15" ht="15" customHeight="1">
      <c r="A6" s="183"/>
      <c r="B6" s="181"/>
      <c r="C6" s="181"/>
      <c r="D6" s="181"/>
      <c r="E6" s="181"/>
      <c r="F6" s="181"/>
      <c r="G6" s="181"/>
      <c r="H6" s="181"/>
      <c r="I6" s="181"/>
      <c r="J6" s="182"/>
    </row>
    <row r="7" spans="1:15" ht="15" customHeight="1">
      <c r="A7" s="201"/>
      <c r="B7" s="188"/>
      <c r="C7" s="188"/>
      <c r="D7" s="188"/>
      <c r="E7" s="188"/>
      <c r="F7" s="188"/>
      <c r="G7" s="188"/>
      <c r="H7" s="188"/>
      <c r="I7" s="188"/>
      <c r="J7" s="189"/>
    </row>
    <row r="8" spans="1:15" ht="15" customHeight="1">
      <c r="A8" s="207" t="s">
        <v>948</v>
      </c>
      <c r="B8" s="177"/>
      <c r="C8" s="177"/>
      <c r="D8" s="177"/>
      <c r="E8" s="177"/>
      <c r="F8" s="177"/>
      <c r="G8" s="177"/>
      <c r="H8" s="177"/>
      <c r="I8" s="177"/>
      <c r="J8" s="178"/>
      <c r="O8" s="31"/>
    </row>
    <row r="9" spans="1:15" ht="15" customHeight="1">
      <c r="A9" s="183"/>
      <c r="B9" s="181"/>
      <c r="C9" s="181"/>
      <c r="D9" s="181"/>
      <c r="E9" s="181"/>
      <c r="F9" s="181"/>
      <c r="G9" s="181"/>
      <c r="H9" s="181"/>
      <c r="I9" s="181"/>
      <c r="J9" s="182"/>
    </row>
    <row r="10" spans="1:15" ht="14.25" customHeight="1">
      <c r="A10" s="183"/>
      <c r="B10" s="181"/>
      <c r="C10" s="181"/>
      <c r="D10" s="181"/>
      <c r="E10" s="181"/>
      <c r="F10" s="181"/>
      <c r="G10" s="181"/>
      <c r="H10" s="181"/>
      <c r="I10" s="181"/>
      <c r="J10" s="182"/>
    </row>
    <row r="11" spans="1:15" ht="12.75" customHeight="1">
      <c r="A11" s="183"/>
      <c r="B11" s="181"/>
      <c r="C11" s="181"/>
      <c r="D11" s="181"/>
      <c r="E11" s="181"/>
      <c r="F11" s="181"/>
      <c r="G11" s="181"/>
      <c r="H11" s="181"/>
      <c r="I11" s="181"/>
      <c r="J11" s="182"/>
    </row>
    <row r="12" spans="1:15" ht="12.75" customHeight="1">
      <c r="A12" s="183"/>
      <c r="B12" s="181"/>
      <c r="C12" s="181"/>
      <c r="D12" s="181"/>
      <c r="E12" s="181"/>
      <c r="F12" s="181"/>
      <c r="G12" s="181"/>
      <c r="H12" s="181"/>
      <c r="I12" s="181"/>
      <c r="J12" s="182"/>
    </row>
    <row r="13" spans="1:15" ht="12.75" customHeight="1">
      <c r="A13" s="183"/>
      <c r="B13" s="181"/>
      <c r="C13" s="181"/>
      <c r="D13" s="181"/>
      <c r="E13" s="181"/>
      <c r="F13" s="181"/>
      <c r="G13" s="181"/>
      <c r="H13" s="181"/>
      <c r="I13" s="181"/>
      <c r="J13" s="182"/>
    </row>
    <row r="14" spans="1:15" ht="12.75" customHeight="1">
      <c r="A14" s="183"/>
      <c r="B14" s="181"/>
      <c r="C14" s="181"/>
      <c r="D14" s="181"/>
      <c r="E14" s="181"/>
      <c r="F14" s="181"/>
      <c r="G14" s="181"/>
      <c r="H14" s="181"/>
      <c r="I14" s="181"/>
      <c r="J14" s="182"/>
    </row>
    <row r="15" spans="1:15" ht="12.75" customHeight="1">
      <c r="A15" s="183"/>
      <c r="B15" s="181"/>
      <c r="C15" s="181"/>
      <c r="D15" s="181"/>
      <c r="E15" s="181"/>
      <c r="F15" s="181"/>
      <c r="G15" s="181"/>
      <c r="H15" s="181"/>
      <c r="I15" s="181"/>
      <c r="J15" s="182"/>
    </row>
    <row r="16" spans="1:15" ht="12.75" customHeight="1">
      <c r="A16" s="183"/>
      <c r="B16" s="181"/>
      <c r="C16" s="181"/>
      <c r="D16" s="181"/>
      <c r="E16" s="181"/>
      <c r="F16" s="181"/>
      <c r="G16" s="181"/>
      <c r="H16" s="181"/>
      <c r="I16" s="181"/>
      <c r="J16" s="182"/>
    </row>
    <row r="17" spans="1:10" ht="12.75" customHeight="1">
      <c r="A17" s="183"/>
      <c r="B17" s="181"/>
      <c r="C17" s="181"/>
      <c r="D17" s="181"/>
      <c r="E17" s="181"/>
      <c r="F17" s="181"/>
      <c r="G17" s="181"/>
      <c r="H17" s="181"/>
      <c r="I17" s="181"/>
      <c r="J17" s="182"/>
    </row>
    <row r="18" spans="1:10" ht="12.75" customHeight="1">
      <c r="A18" s="183"/>
      <c r="B18" s="181"/>
      <c r="C18" s="181"/>
      <c r="D18" s="181"/>
      <c r="E18" s="181"/>
      <c r="F18" s="181"/>
      <c r="G18" s="181"/>
      <c r="H18" s="181"/>
      <c r="I18" s="181"/>
      <c r="J18" s="182"/>
    </row>
    <row r="19" spans="1:10" ht="12.75" customHeight="1">
      <c r="A19" s="183"/>
      <c r="B19" s="181"/>
      <c r="C19" s="181"/>
      <c r="D19" s="181"/>
      <c r="E19" s="181"/>
      <c r="F19" s="181"/>
      <c r="G19" s="181"/>
      <c r="H19" s="181"/>
      <c r="I19" s="181"/>
      <c r="J19" s="182"/>
    </row>
    <row r="20" spans="1:10" ht="12.75" customHeight="1">
      <c r="A20" s="183"/>
      <c r="B20" s="181"/>
      <c r="C20" s="181"/>
      <c r="D20" s="181"/>
      <c r="E20" s="181"/>
      <c r="F20" s="181"/>
      <c r="G20" s="181"/>
      <c r="H20" s="181"/>
      <c r="I20" s="181"/>
      <c r="J20" s="182"/>
    </row>
    <row r="21" spans="1:10" ht="12.75" customHeight="1">
      <c r="A21" s="183"/>
      <c r="B21" s="181"/>
      <c r="C21" s="181"/>
      <c r="D21" s="181"/>
      <c r="E21" s="181"/>
      <c r="F21" s="181"/>
      <c r="G21" s="181"/>
      <c r="H21" s="181"/>
      <c r="I21" s="181"/>
      <c r="J21" s="182"/>
    </row>
    <row r="22" spans="1:10" ht="12.75" customHeight="1">
      <c r="A22" s="183"/>
      <c r="B22" s="181"/>
      <c r="C22" s="181"/>
      <c r="D22" s="181"/>
      <c r="E22" s="181"/>
      <c r="F22" s="181"/>
      <c r="G22" s="181"/>
      <c r="H22" s="181"/>
      <c r="I22" s="181"/>
      <c r="J22" s="182"/>
    </row>
    <row r="23" spans="1:10" ht="12.75" customHeight="1">
      <c r="A23" s="183"/>
      <c r="B23" s="181"/>
      <c r="C23" s="181"/>
      <c r="D23" s="181"/>
      <c r="E23" s="181"/>
      <c r="F23" s="181"/>
      <c r="G23" s="181"/>
      <c r="H23" s="181"/>
      <c r="I23" s="181"/>
      <c r="J23" s="182"/>
    </row>
    <row r="24" spans="1:10" ht="12.75" customHeight="1">
      <c r="A24" s="183"/>
      <c r="B24" s="181"/>
      <c r="C24" s="181"/>
      <c r="D24" s="181"/>
      <c r="E24" s="181"/>
      <c r="F24" s="181"/>
      <c r="G24" s="181"/>
      <c r="H24" s="181"/>
      <c r="I24" s="181"/>
      <c r="J24" s="182"/>
    </row>
    <row r="25" spans="1:10" ht="12.75" customHeight="1">
      <c r="A25" s="183"/>
      <c r="B25" s="181"/>
      <c r="C25" s="181"/>
      <c r="D25" s="181"/>
      <c r="E25" s="181"/>
      <c r="F25" s="181"/>
      <c r="G25" s="181"/>
      <c r="H25" s="181"/>
      <c r="I25" s="181"/>
      <c r="J25" s="182"/>
    </row>
    <row r="26" spans="1:10" ht="12.75" customHeight="1">
      <c r="A26" s="183"/>
      <c r="B26" s="181"/>
      <c r="C26" s="181"/>
      <c r="D26" s="181"/>
      <c r="E26" s="181"/>
      <c r="F26" s="181"/>
      <c r="G26" s="181"/>
      <c r="H26" s="181"/>
      <c r="I26" s="181"/>
      <c r="J26" s="182"/>
    </row>
    <row r="27" spans="1:10" ht="12.75" customHeight="1">
      <c r="A27" s="183"/>
      <c r="B27" s="181"/>
      <c r="C27" s="181"/>
      <c r="D27" s="181"/>
      <c r="E27" s="181"/>
      <c r="F27" s="181"/>
      <c r="G27" s="181"/>
      <c r="H27" s="181"/>
      <c r="I27" s="181"/>
      <c r="J27" s="182"/>
    </row>
    <row r="28" spans="1:10" ht="12.75" customHeight="1">
      <c r="A28" s="183"/>
      <c r="B28" s="181"/>
      <c r="C28" s="181"/>
      <c r="D28" s="181"/>
      <c r="E28" s="181"/>
      <c r="F28" s="181"/>
      <c r="G28" s="181"/>
      <c r="H28" s="181"/>
      <c r="I28" s="181"/>
      <c r="J28" s="182"/>
    </row>
    <row r="29" spans="1:10" ht="12.75" customHeight="1">
      <c r="A29" s="183"/>
      <c r="B29" s="181"/>
      <c r="C29" s="181"/>
      <c r="D29" s="181"/>
      <c r="E29" s="181"/>
      <c r="F29" s="181"/>
      <c r="G29" s="181"/>
      <c r="H29" s="181"/>
      <c r="I29" s="181"/>
      <c r="J29" s="182"/>
    </row>
    <row r="30" spans="1:10" ht="12.75" customHeight="1">
      <c r="A30" s="183"/>
      <c r="B30" s="181"/>
      <c r="C30" s="181"/>
      <c r="D30" s="181"/>
      <c r="E30" s="181"/>
      <c r="F30" s="181"/>
      <c r="G30" s="181"/>
      <c r="H30" s="181"/>
      <c r="I30" s="181"/>
      <c r="J30" s="182"/>
    </row>
    <row r="31" spans="1:10" ht="12.7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2.7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183"/>
      <c r="B38" s="181"/>
      <c r="C38" s="181"/>
      <c r="D38" s="181"/>
      <c r="E38" s="181"/>
      <c r="F38" s="181"/>
      <c r="G38" s="181"/>
      <c r="H38" s="181"/>
      <c r="I38" s="181"/>
      <c r="J38" s="182"/>
    </row>
    <row r="39" spans="1:10" ht="12.75" customHeight="1">
      <c r="A39" s="183"/>
      <c r="B39" s="181"/>
      <c r="C39" s="181"/>
      <c r="D39" s="181"/>
      <c r="E39" s="181"/>
      <c r="F39" s="181"/>
      <c r="G39" s="181"/>
      <c r="H39" s="181"/>
      <c r="I39" s="181"/>
      <c r="J39" s="182"/>
    </row>
    <row r="40" spans="1:10" ht="12.75" customHeight="1">
      <c r="A40" s="183"/>
      <c r="B40" s="181"/>
      <c r="C40" s="181"/>
      <c r="D40" s="181"/>
      <c r="E40" s="181"/>
      <c r="F40" s="181"/>
      <c r="G40" s="181"/>
      <c r="H40" s="181"/>
      <c r="I40" s="181"/>
      <c r="J40" s="182"/>
    </row>
    <row r="41" spans="1:10" ht="12.75" customHeight="1">
      <c r="A41" s="183"/>
      <c r="B41" s="181"/>
      <c r="C41" s="181"/>
      <c r="D41" s="181"/>
      <c r="E41" s="181"/>
      <c r="F41" s="181"/>
      <c r="G41" s="181"/>
      <c r="H41" s="181"/>
      <c r="I41" s="181"/>
      <c r="J41" s="182"/>
    </row>
    <row r="42" spans="1:10" ht="12.75" customHeight="1">
      <c r="A42" s="183"/>
      <c r="B42" s="181"/>
      <c r="C42" s="181"/>
      <c r="D42" s="181"/>
      <c r="E42" s="181"/>
      <c r="F42" s="181"/>
      <c r="G42" s="181"/>
      <c r="H42" s="181"/>
      <c r="I42" s="181"/>
      <c r="J42" s="182"/>
    </row>
    <row r="43" spans="1:10" ht="12.75" customHeight="1">
      <c r="A43" s="183"/>
      <c r="B43" s="181"/>
      <c r="C43" s="181"/>
      <c r="D43" s="181"/>
      <c r="E43" s="181"/>
      <c r="F43" s="181"/>
      <c r="G43" s="181"/>
      <c r="H43" s="181"/>
      <c r="I43" s="181"/>
      <c r="J43" s="182"/>
    </row>
    <row r="44" spans="1:10" ht="12.75" customHeight="1">
      <c r="A44" s="183"/>
      <c r="B44" s="181"/>
      <c r="C44" s="181"/>
      <c r="D44" s="181"/>
      <c r="E44" s="181"/>
      <c r="F44" s="181"/>
      <c r="G44" s="181"/>
      <c r="H44" s="181"/>
      <c r="I44" s="181"/>
      <c r="J44" s="182"/>
    </row>
    <row r="45" spans="1:10" ht="12.75" customHeight="1">
      <c r="A45" s="183"/>
      <c r="B45" s="181"/>
      <c r="C45" s="181"/>
      <c r="D45" s="181"/>
      <c r="E45" s="181"/>
      <c r="F45" s="181"/>
      <c r="G45" s="181"/>
      <c r="H45" s="181"/>
      <c r="I45" s="181"/>
      <c r="J45" s="182"/>
    </row>
    <row r="46" spans="1:10" ht="12.75" customHeight="1">
      <c r="A46" s="183"/>
      <c r="B46" s="181"/>
      <c r="C46" s="181"/>
      <c r="D46" s="181"/>
      <c r="E46" s="181"/>
      <c r="F46" s="181"/>
      <c r="G46" s="181"/>
      <c r="H46" s="181"/>
      <c r="I46" s="181"/>
      <c r="J46" s="182"/>
    </row>
    <row r="47" spans="1:10" ht="12.75" customHeight="1">
      <c r="A47" s="183"/>
      <c r="B47" s="181"/>
      <c r="C47" s="181"/>
      <c r="D47" s="181"/>
      <c r="E47" s="181"/>
      <c r="F47" s="181"/>
      <c r="G47" s="181"/>
      <c r="H47" s="181"/>
      <c r="I47" s="181"/>
      <c r="J47" s="182"/>
    </row>
    <row r="48" spans="1:10" ht="12.75" customHeight="1">
      <c r="A48" s="183"/>
      <c r="B48" s="181"/>
      <c r="C48" s="181"/>
      <c r="D48" s="181"/>
      <c r="E48" s="181"/>
      <c r="F48" s="181"/>
      <c r="G48" s="181"/>
      <c r="H48" s="181"/>
      <c r="I48" s="181"/>
      <c r="J48" s="182"/>
    </row>
    <row r="49" spans="1:10" ht="12.75" customHeight="1">
      <c r="A49" s="183"/>
      <c r="B49" s="181"/>
      <c r="C49" s="181"/>
      <c r="D49" s="181"/>
      <c r="E49" s="181"/>
      <c r="F49" s="181"/>
      <c r="G49" s="181"/>
      <c r="H49" s="181"/>
      <c r="I49" s="181"/>
      <c r="J49" s="182"/>
    </row>
    <row r="50" spans="1:10" ht="12.75" customHeight="1">
      <c r="A50" s="183"/>
      <c r="B50" s="181"/>
      <c r="C50" s="181"/>
      <c r="D50" s="181"/>
      <c r="E50" s="181"/>
      <c r="F50" s="181"/>
      <c r="G50" s="181"/>
      <c r="H50" s="181"/>
      <c r="I50" s="181"/>
      <c r="J50" s="182"/>
    </row>
    <row r="51" spans="1:10" ht="12.75" customHeight="1">
      <c r="A51" s="183"/>
      <c r="B51" s="181"/>
      <c r="C51" s="181"/>
      <c r="D51" s="181"/>
      <c r="E51" s="181"/>
      <c r="F51" s="181"/>
      <c r="G51" s="181"/>
      <c r="H51" s="181"/>
      <c r="I51" s="181"/>
      <c r="J51" s="182"/>
    </row>
    <row r="52" spans="1:10" ht="12.75" customHeight="1">
      <c r="A52" s="183"/>
      <c r="B52" s="181"/>
      <c r="C52" s="181"/>
      <c r="D52" s="181"/>
      <c r="E52" s="181"/>
      <c r="F52" s="181"/>
      <c r="G52" s="181"/>
      <c r="H52" s="181"/>
      <c r="I52" s="181"/>
      <c r="J52" s="182"/>
    </row>
    <row r="53" spans="1:10" ht="12.75" customHeight="1">
      <c r="A53" s="183"/>
      <c r="B53" s="181"/>
      <c r="C53" s="181"/>
      <c r="D53" s="181"/>
      <c r="E53" s="181"/>
      <c r="F53" s="181"/>
      <c r="G53" s="181"/>
      <c r="H53" s="181"/>
      <c r="I53" s="181"/>
      <c r="J53" s="182"/>
    </row>
    <row r="54" spans="1:10" ht="12.75" customHeight="1">
      <c r="A54" s="183"/>
      <c r="B54" s="181"/>
      <c r="C54" s="181"/>
      <c r="D54" s="181"/>
      <c r="E54" s="181"/>
      <c r="F54" s="181"/>
      <c r="G54" s="181"/>
      <c r="H54" s="181"/>
      <c r="I54" s="181"/>
      <c r="J54" s="182"/>
    </row>
    <row r="55" spans="1:10" ht="12.75" customHeight="1">
      <c r="A55" s="183"/>
      <c r="B55" s="181"/>
      <c r="C55" s="181"/>
      <c r="D55" s="181"/>
      <c r="E55" s="181"/>
      <c r="F55" s="181"/>
      <c r="G55" s="181"/>
      <c r="H55" s="181"/>
      <c r="I55" s="181"/>
      <c r="J55" s="182"/>
    </row>
    <row r="56" spans="1:10" ht="84.5" customHeight="1">
      <c r="A56" s="201"/>
      <c r="B56" s="188"/>
      <c r="C56" s="188"/>
      <c r="D56" s="188"/>
      <c r="E56" s="188"/>
      <c r="F56" s="188"/>
      <c r="G56" s="188"/>
      <c r="H56" s="188"/>
      <c r="I56" s="188"/>
      <c r="J56" s="18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120"/>
      <c r="J88" s="119"/>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abSelected="1" topLeftCell="A346" workbookViewId="0">
      <selection activeCell="X13" sqref="X13"/>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40" t="s">
        <v>69</v>
      </c>
      <c r="B1" s="197"/>
      <c r="C1" s="197"/>
      <c r="D1" s="197"/>
      <c r="E1" s="197"/>
      <c r="F1" s="197"/>
      <c r="G1" s="197"/>
      <c r="H1" s="241" t="str">
        <f>'CONTACT INFORMATION'!$A$24</f>
        <v>San Francisco</v>
      </c>
      <c r="I1" s="197"/>
      <c r="J1" s="198"/>
    </row>
    <row r="2" spans="1:10" ht="9" customHeight="1"/>
    <row r="3" spans="1:10" ht="12" customHeight="1">
      <c r="A3" s="284" t="s">
        <v>70</v>
      </c>
      <c r="B3" s="181"/>
      <c r="C3" s="181"/>
      <c r="D3" s="181"/>
      <c r="E3" s="181"/>
      <c r="F3" s="181"/>
      <c r="G3" s="181"/>
      <c r="H3" s="181"/>
      <c r="I3" s="181"/>
      <c r="J3" s="181"/>
    </row>
    <row r="4" spans="1:10" ht="13.5" customHeight="1">
      <c r="A4" s="181"/>
      <c r="B4" s="181"/>
      <c r="C4" s="181"/>
      <c r="D4" s="181"/>
      <c r="E4" s="181"/>
      <c r="F4" s="181"/>
      <c r="G4" s="181"/>
      <c r="H4" s="181"/>
      <c r="I4" s="181"/>
      <c r="J4" s="181"/>
    </row>
    <row r="5" spans="1:10" ht="13.5" customHeight="1">
      <c r="A5" s="181"/>
      <c r="B5" s="181"/>
      <c r="C5" s="181"/>
      <c r="D5" s="181"/>
      <c r="E5" s="181"/>
      <c r="F5" s="181"/>
      <c r="G5" s="181"/>
      <c r="H5" s="181"/>
      <c r="I5" s="181"/>
      <c r="J5" s="181"/>
    </row>
    <row r="6" spans="1:10" ht="13.5" customHeight="1">
      <c r="A6" s="181"/>
      <c r="B6" s="181"/>
      <c r="C6" s="181"/>
      <c r="D6" s="181"/>
      <c r="E6" s="181"/>
      <c r="F6" s="181"/>
      <c r="G6" s="181"/>
      <c r="H6" s="181"/>
      <c r="I6" s="181"/>
      <c r="J6" s="181"/>
    </row>
    <row r="7" spans="1:10" ht="9" customHeight="1">
      <c r="A7" s="181"/>
      <c r="B7" s="181"/>
      <c r="C7" s="181"/>
      <c r="D7" s="181"/>
      <c r="E7" s="181"/>
      <c r="F7" s="181"/>
      <c r="G7" s="181"/>
      <c r="H7" s="181"/>
      <c r="I7" s="181"/>
      <c r="J7" s="181"/>
    </row>
    <row r="8" spans="1:10" ht="10.5" customHeight="1"/>
    <row r="9" spans="1:10" ht="13.5" customHeight="1">
      <c r="A9" s="184" t="s">
        <v>71</v>
      </c>
      <c r="B9" s="181"/>
      <c r="C9" s="181"/>
      <c r="D9" s="181"/>
      <c r="E9" s="181"/>
      <c r="F9" s="181"/>
      <c r="G9" s="181"/>
      <c r="H9" s="181"/>
      <c r="I9" s="181"/>
      <c r="J9" s="181"/>
    </row>
    <row r="10" spans="1:10" ht="13.5" customHeight="1">
      <c r="A10" s="181"/>
      <c r="B10" s="181"/>
      <c r="C10" s="181"/>
      <c r="D10" s="181"/>
      <c r="E10" s="181"/>
      <c r="F10" s="181"/>
      <c r="G10" s="181"/>
      <c r="H10" s="181"/>
      <c r="I10" s="181"/>
      <c r="J10" s="181"/>
    </row>
    <row r="11" spans="1:10" ht="13.5" customHeight="1">
      <c r="A11" s="181"/>
      <c r="B11" s="181"/>
      <c r="C11" s="181"/>
      <c r="D11" s="181"/>
      <c r="E11" s="181"/>
      <c r="F11" s="181"/>
      <c r="G11" s="181"/>
      <c r="H11" s="181"/>
      <c r="I11" s="181"/>
      <c r="J11" s="181"/>
    </row>
    <row r="12" spans="1:10" ht="12.75" customHeight="1">
      <c r="A12" s="77"/>
      <c r="B12" s="77"/>
      <c r="C12" s="77"/>
      <c r="D12" s="77"/>
      <c r="E12" s="77"/>
      <c r="F12" s="77"/>
      <c r="G12" s="77"/>
      <c r="H12" s="77"/>
      <c r="I12" s="77"/>
      <c r="J12" s="77"/>
    </row>
    <row r="13" spans="1:10" ht="12.75" customHeight="1">
      <c r="A13" s="285" t="s">
        <v>72</v>
      </c>
      <c r="B13" s="181"/>
      <c r="C13" s="181"/>
      <c r="D13" s="181"/>
      <c r="E13" s="181"/>
      <c r="F13" s="181"/>
      <c r="G13" s="181"/>
      <c r="H13" s="181"/>
      <c r="I13" s="181"/>
      <c r="J13" s="181"/>
    </row>
    <row r="14" spans="1:10" ht="18" customHeight="1">
      <c r="A14" s="43"/>
      <c r="B14" s="44" t="s">
        <v>73</v>
      </c>
      <c r="C14" s="281" t="s">
        <v>74</v>
      </c>
      <c r="D14" s="282"/>
      <c r="E14" s="282"/>
      <c r="F14" s="45"/>
      <c r="G14" s="44" t="s">
        <v>73</v>
      </c>
      <c r="H14" s="281" t="s">
        <v>74</v>
      </c>
      <c r="I14" s="282"/>
      <c r="J14" s="282"/>
    </row>
    <row r="15" spans="1:10" ht="12" customHeight="1">
      <c r="A15" s="46" t="s">
        <v>75</v>
      </c>
      <c r="B15" s="47">
        <v>1</v>
      </c>
      <c r="C15" s="48" t="s">
        <v>76</v>
      </c>
      <c r="F15" s="48"/>
      <c r="G15" s="47">
        <v>5</v>
      </c>
      <c r="H15" s="48" t="s">
        <v>77</v>
      </c>
      <c r="I15" s="48"/>
      <c r="J15" s="48"/>
    </row>
    <row r="16" spans="1:10" ht="12" customHeight="1">
      <c r="A16" s="48"/>
      <c r="B16" s="47">
        <v>2</v>
      </c>
      <c r="C16" s="48" t="s">
        <v>78</v>
      </c>
      <c r="F16" s="48"/>
      <c r="G16" s="47">
        <v>6</v>
      </c>
      <c r="H16" s="48" t="s">
        <v>79</v>
      </c>
      <c r="I16" s="48"/>
      <c r="J16" s="48"/>
    </row>
    <row r="17" spans="1:10" ht="12" customHeight="1">
      <c r="A17" s="48"/>
      <c r="B17" s="47">
        <v>3</v>
      </c>
      <c r="C17" s="48" t="s">
        <v>80</v>
      </c>
      <c r="F17" s="48"/>
      <c r="G17" s="47">
        <v>7</v>
      </c>
      <c r="H17" s="48" t="s">
        <v>81</v>
      </c>
      <c r="I17" s="48"/>
      <c r="J17" s="48"/>
    </row>
    <row r="18" spans="1:10" ht="12" customHeight="1">
      <c r="A18" s="48"/>
      <c r="B18" s="47">
        <v>4</v>
      </c>
      <c r="C18" s="48" t="s">
        <v>82</v>
      </c>
      <c r="F18" s="48"/>
      <c r="G18" s="48"/>
      <c r="H18" s="48"/>
      <c r="I18" s="48"/>
      <c r="J18" s="48"/>
    </row>
    <row r="19" spans="1:10" ht="10.5" customHeight="1">
      <c r="A19" s="48"/>
      <c r="B19" s="47"/>
      <c r="C19" s="48"/>
      <c r="F19" s="48"/>
      <c r="G19" s="48"/>
      <c r="H19" s="48"/>
      <c r="I19" s="48"/>
      <c r="J19" s="48"/>
    </row>
    <row r="20" spans="1:10" ht="12" customHeight="1">
      <c r="A20" s="43"/>
      <c r="B20" s="44" t="s">
        <v>73</v>
      </c>
      <c r="C20" s="281" t="s">
        <v>74</v>
      </c>
      <c r="D20" s="282"/>
      <c r="E20" s="282"/>
      <c r="F20" s="45"/>
      <c r="G20" s="44" t="s">
        <v>73</v>
      </c>
      <c r="H20" s="281" t="s">
        <v>74</v>
      </c>
      <c r="I20" s="282"/>
      <c r="J20" s="282"/>
    </row>
    <row r="21" spans="1:10" ht="12" customHeight="1">
      <c r="A21" s="46" t="s">
        <v>83</v>
      </c>
      <c r="B21" s="47">
        <v>8</v>
      </c>
      <c r="C21" s="48" t="s">
        <v>84</v>
      </c>
      <c r="F21" s="48"/>
      <c r="G21" s="47">
        <v>26</v>
      </c>
      <c r="H21" s="48" t="s">
        <v>85</v>
      </c>
      <c r="I21" s="48"/>
      <c r="J21" s="48"/>
    </row>
    <row r="22" spans="1:10" ht="12" customHeight="1">
      <c r="A22" s="46" t="s">
        <v>86</v>
      </c>
      <c r="B22" s="47">
        <v>9</v>
      </c>
      <c r="C22" s="48" t="s">
        <v>87</v>
      </c>
      <c r="F22" s="48"/>
      <c r="G22" s="47"/>
      <c r="H22" s="48" t="s">
        <v>88</v>
      </c>
      <c r="I22" s="48"/>
      <c r="J22" s="48"/>
    </row>
    <row r="23" spans="1:10" ht="12" customHeight="1">
      <c r="B23" s="47">
        <v>10</v>
      </c>
      <c r="C23" s="48" t="s">
        <v>89</v>
      </c>
      <c r="F23" s="48"/>
      <c r="G23" s="47">
        <v>27</v>
      </c>
      <c r="H23" s="48" t="s">
        <v>90</v>
      </c>
      <c r="I23" s="48"/>
      <c r="J23" s="48"/>
    </row>
    <row r="24" spans="1:10" ht="12" customHeight="1">
      <c r="A24" s="48"/>
      <c r="B24" s="47">
        <v>11</v>
      </c>
      <c r="C24" s="48" t="s">
        <v>91</v>
      </c>
      <c r="F24" s="48"/>
      <c r="G24" s="47">
        <v>28</v>
      </c>
      <c r="H24" s="48" t="s">
        <v>92</v>
      </c>
      <c r="I24" s="48"/>
      <c r="J24" s="48"/>
    </row>
    <row r="25" spans="1:10" ht="12" customHeight="1">
      <c r="A25" s="48"/>
      <c r="B25" s="47">
        <v>12</v>
      </c>
      <c r="C25" s="48" t="s">
        <v>93</v>
      </c>
      <c r="F25" s="48"/>
      <c r="G25" s="47">
        <v>29</v>
      </c>
      <c r="H25" s="48" t="s">
        <v>94</v>
      </c>
      <c r="I25" s="48"/>
      <c r="J25" s="48"/>
    </row>
    <row r="26" spans="1:10" ht="12" customHeight="1">
      <c r="A26" s="48"/>
      <c r="B26" s="47">
        <v>13</v>
      </c>
      <c r="C26" s="48" t="s">
        <v>95</v>
      </c>
      <c r="F26" s="48"/>
      <c r="G26" s="47">
        <v>30</v>
      </c>
      <c r="H26" s="48" t="s">
        <v>96</v>
      </c>
      <c r="I26" s="48"/>
      <c r="J26" s="48"/>
    </row>
    <row r="27" spans="1:10" ht="12" customHeight="1">
      <c r="A27" s="48"/>
      <c r="B27" s="47">
        <v>14</v>
      </c>
      <c r="C27" s="48" t="s">
        <v>97</v>
      </c>
      <c r="F27" s="48"/>
      <c r="G27" s="47">
        <v>31</v>
      </c>
      <c r="H27" s="48" t="s">
        <v>98</v>
      </c>
      <c r="I27" s="48"/>
      <c r="J27" s="48"/>
    </row>
    <row r="28" spans="1:10" ht="12" customHeight="1">
      <c r="A28" s="48"/>
      <c r="B28" s="47">
        <v>15</v>
      </c>
      <c r="C28" s="48" t="s">
        <v>99</v>
      </c>
      <c r="F28" s="48"/>
      <c r="G28" s="47">
        <v>32</v>
      </c>
      <c r="H28" s="48" t="s">
        <v>100</v>
      </c>
      <c r="I28" s="48"/>
      <c r="J28" s="48"/>
    </row>
    <row r="29" spans="1:10" ht="12" customHeight="1">
      <c r="A29" s="48"/>
      <c r="B29" s="47">
        <v>16</v>
      </c>
      <c r="C29" s="48" t="s">
        <v>101</v>
      </c>
      <c r="F29" s="48"/>
      <c r="G29" s="47">
        <v>33</v>
      </c>
      <c r="H29" s="48" t="s">
        <v>102</v>
      </c>
      <c r="I29" s="48"/>
      <c r="J29" s="48"/>
    </row>
    <row r="30" spans="1:10" ht="12" customHeight="1">
      <c r="A30" s="48"/>
      <c r="B30" s="47">
        <v>17</v>
      </c>
      <c r="C30" s="48" t="s">
        <v>103</v>
      </c>
      <c r="F30" s="48"/>
      <c r="G30" s="47">
        <v>34</v>
      </c>
      <c r="H30" s="48" t="s">
        <v>104</v>
      </c>
      <c r="I30" s="48"/>
      <c r="J30" s="48"/>
    </row>
    <row r="31" spans="1:10" ht="12" customHeight="1">
      <c r="A31" s="48"/>
      <c r="B31" s="47">
        <v>18</v>
      </c>
      <c r="C31" s="48" t="s">
        <v>105</v>
      </c>
      <c r="F31" s="48"/>
      <c r="G31" s="47">
        <v>35</v>
      </c>
      <c r="H31" s="48" t="s">
        <v>106</v>
      </c>
      <c r="I31" s="48"/>
      <c r="J31" s="48"/>
    </row>
    <row r="32" spans="1:10" ht="12" customHeight="1">
      <c r="A32" s="48"/>
      <c r="B32" s="47">
        <v>19</v>
      </c>
      <c r="C32" s="48" t="s">
        <v>107</v>
      </c>
      <c r="F32" s="48"/>
      <c r="G32" s="47">
        <v>36</v>
      </c>
      <c r="H32" s="48" t="s">
        <v>108</v>
      </c>
      <c r="I32" s="48"/>
      <c r="J32" s="48"/>
    </row>
    <row r="33" spans="1:10" ht="12" customHeight="1">
      <c r="A33" s="48"/>
      <c r="B33" s="47">
        <v>20</v>
      </c>
      <c r="C33" s="48" t="s">
        <v>109</v>
      </c>
      <c r="F33" s="48"/>
      <c r="G33" s="47">
        <v>37</v>
      </c>
      <c r="H33" s="48" t="s">
        <v>110</v>
      </c>
      <c r="I33" s="48"/>
      <c r="J33" s="48"/>
    </row>
    <row r="34" spans="1:10" ht="12" customHeight="1">
      <c r="A34" s="48"/>
      <c r="B34" s="47">
        <v>21</v>
      </c>
      <c r="C34" s="48" t="s">
        <v>111</v>
      </c>
      <c r="F34" s="48"/>
      <c r="G34" s="47">
        <v>38</v>
      </c>
      <c r="H34" s="48" t="s">
        <v>112</v>
      </c>
      <c r="I34" s="48"/>
      <c r="J34" s="48"/>
    </row>
    <row r="35" spans="1:10" ht="12" customHeight="1">
      <c r="A35" s="48"/>
      <c r="B35" s="47">
        <v>22</v>
      </c>
      <c r="C35" s="48" t="s">
        <v>113</v>
      </c>
      <c r="F35" s="48"/>
      <c r="G35" s="47">
        <v>39</v>
      </c>
      <c r="H35" s="48" t="s">
        <v>114</v>
      </c>
      <c r="I35" s="48"/>
      <c r="J35" s="48"/>
    </row>
    <row r="36" spans="1:10" ht="12" customHeight="1">
      <c r="A36" s="48"/>
      <c r="B36" s="47">
        <v>23</v>
      </c>
      <c r="C36" s="48" t="s">
        <v>115</v>
      </c>
      <c r="F36" s="48"/>
      <c r="G36" s="47">
        <v>40</v>
      </c>
      <c r="H36" s="48" t="s">
        <v>116</v>
      </c>
      <c r="I36" s="48"/>
      <c r="J36" s="48"/>
    </row>
    <row r="37" spans="1:10" ht="12" customHeight="1">
      <c r="A37" s="48"/>
      <c r="B37" s="47">
        <v>24</v>
      </c>
      <c r="C37" s="48" t="s">
        <v>117</v>
      </c>
      <c r="F37" s="48"/>
      <c r="G37" s="47">
        <v>41</v>
      </c>
      <c r="H37" s="48" t="s">
        <v>118</v>
      </c>
      <c r="I37" s="48"/>
      <c r="J37" s="48"/>
    </row>
    <row r="38" spans="1:10" ht="12" customHeight="1">
      <c r="A38" s="48"/>
      <c r="B38" s="47">
        <v>25</v>
      </c>
      <c r="C38" s="48" t="s">
        <v>119</v>
      </c>
      <c r="F38" s="48"/>
      <c r="G38" s="47">
        <v>42</v>
      </c>
      <c r="H38" s="48" t="s">
        <v>120</v>
      </c>
      <c r="I38" s="48"/>
      <c r="J38" s="48"/>
    </row>
    <row r="39" spans="1:10" ht="12" customHeight="1">
      <c r="A39" s="48"/>
      <c r="B39" s="47"/>
      <c r="C39" s="48"/>
      <c r="F39" s="48"/>
      <c r="G39" s="47">
        <v>43</v>
      </c>
      <c r="H39" s="48" t="s">
        <v>121</v>
      </c>
      <c r="I39" s="48"/>
      <c r="J39" s="48"/>
    </row>
    <row r="40" spans="1:10" ht="12" customHeight="1">
      <c r="A40" s="48"/>
      <c r="B40" s="47"/>
      <c r="C40" s="48"/>
      <c r="F40" s="48"/>
      <c r="G40" s="47"/>
      <c r="H40" s="48"/>
      <c r="I40" s="48"/>
      <c r="J40" s="48"/>
    </row>
    <row r="41" spans="1:10" ht="12" customHeight="1">
      <c r="A41" s="43"/>
      <c r="B41" s="44" t="s">
        <v>73</v>
      </c>
      <c r="C41" s="281" t="s">
        <v>74</v>
      </c>
      <c r="D41" s="282"/>
      <c r="E41" s="282"/>
      <c r="F41" s="45"/>
      <c r="G41" s="44" t="s">
        <v>73</v>
      </c>
      <c r="H41" s="281" t="s">
        <v>74</v>
      </c>
      <c r="I41" s="282"/>
      <c r="J41" s="282"/>
    </row>
    <row r="42" spans="1:10" ht="12" customHeight="1">
      <c r="A42" s="46" t="s">
        <v>122</v>
      </c>
      <c r="B42" s="47">
        <v>44</v>
      </c>
      <c r="C42" s="48" t="s">
        <v>123</v>
      </c>
      <c r="F42" s="48"/>
      <c r="G42" s="47">
        <v>48</v>
      </c>
      <c r="H42" s="48" t="s">
        <v>124</v>
      </c>
      <c r="I42" s="48"/>
      <c r="J42" s="48"/>
    </row>
    <row r="43" spans="1:10" ht="12" customHeight="1">
      <c r="A43" s="46" t="s">
        <v>125</v>
      </c>
      <c r="B43" s="47">
        <v>45</v>
      </c>
      <c r="C43" s="48" t="s">
        <v>126</v>
      </c>
      <c r="F43" s="48"/>
      <c r="G43" s="47">
        <v>49</v>
      </c>
      <c r="H43" s="48" t="s">
        <v>127</v>
      </c>
      <c r="I43" s="48"/>
      <c r="J43" s="48"/>
    </row>
    <row r="44" spans="1:10" ht="12" customHeight="1">
      <c r="A44" s="46" t="s">
        <v>128</v>
      </c>
      <c r="B44" s="47">
        <v>46</v>
      </c>
      <c r="C44" s="48" t="s">
        <v>129</v>
      </c>
      <c r="F44" s="48"/>
      <c r="G44" s="47">
        <v>50</v>
      </c>
      <c r="H44" s="48" t="s">
        <v>130</v>
      </c>
      <c r="I44" s="48"/>
      <c r="J44" s="48"/>
    </row>
    <row r="45" spans="1:10" ht="12" customHeight="1">
      <c r="A45" s="46" t="s">
        <v>131</v>
      </c>
      <c r="B45" s="47">
        <v>47</v>
      </c>
      <c r="C45" s="48" t="s">
        <v>132</v>
      </c>
      <c r="F45" s="48"/>
      <c r="G45" s="47"/>
      <c r="H45" s="48"/>
      <c r="I45" s="48"/>
      <c r="J45" s="48"/>
    </row>
    <row r="46" spans="1:10" ht="12.75" customHeight="1">
      <c r="A46" s="48"/>
      <c r="B46" s="48"/>
      <c r="C46" s="48"/>
      <c r="F46" s="48"/>
      <c r="G46" s="48"/>
      <c r="H46" s="48"/>
      <c r="I46" s="48"/>
      <c r="J46" s="48"/>
    </row>
    <row r="47" spans="1:10" ht="12.75" customHeight="1">
      <c r="A47" s="184" t="s">
        <v>133</v>
      </c>
      <c r="B47" s="181"/>
      <c r="C47" s="181"/>
      <c r="D47" s="181"/>
      <c r="E47" s="181"/>
      <c r="F47" s="181"/>
      <c r="G47" s="181"/>
      <c r="H47" s="181"/>
      <c r="I47" s="181"/>
      <c r="J47" s="181"/>
    </row>
    <row r="48" spans="1:10" ht="12.75" customHeight="1">
      <c r="A48" s="181"/>
      <c r="B48" s="181"/>
      <c r="C48" s="181"/>
      <c r="D48" s="181"/>
      <c r="E48" s="181"/>
      <c r="F48" s="181"/>
      <c r="G48" s="181"/>
      <c r="H48" s="181"/>
      <c r="I48" s="181"/>
      <c r="J48" s="181"/>
    </row>
    <row r="49" spans="1:11" ht="12.75" customHeight="1">
      <c r="A49" s="181"/>
      <c r="B49" s="181"/>
      <c r="C49" s="181"/>
      <c r="D49" s="181"/>
      <c r="E49" s="181"/>
      <c r="F49" s="181"/>
      <c r="G49" s="181"/>
      <c r="H49" s="181"/>
      <c r="I49" s="181"/>
      <c r="J49" s="181"/>
    </row>
    <row r="50" spans="1:11" ht="12.75" customHeight="1">
      <c r="A50" s="181"/>
      <c r="B50" s="181"/>
      <c r="C50" s="181"/>
      <c r="D50" s="181"/>
      <c r="E50" s="181"/>
      <c r="F50" s="181"/>
      <c r="G50" s="181"/>
      <c r="H50" s="181"/>
      <c r="I50" s="181"/>
      <c r="J50" s="181"/>
    </row>
    <row r="51" spans="1:11" ht="12.75" customHeight="1">
      <c r="A51" s="181"/>
      <c r="B51" s="181"/>
      <c r="C51" s="181"/>
      <c r="D51" s="181"/>
      <c r="E51" s="181"/>
      <c r="F51" s="181"/>
      <c r="G51" s="181"/>
      <c r="H51" s="181"/>
      <c r="I51" s="181"/>
      <c r="J51" s="181"/>
    </row>
    <row r="52" spans="1:11" ht="12.75" hidden="1" customHeight="1">
      <c r="A52" s="181"/>
      <c r="B52" s="181"/>
      <c r="C52" s="181"/>
      <c r="D52" s="181"/>
      <c r="E52" s="181"/>
      <c r="F52" s="181"/>
      <c r="G52" s="181"/>
      <c r="H52" s="181"/>
      <c r="I52" s="181"/>
      <c r="J52" s="181"/>
    </row>
    <row r="53" spans="1:11" ht="12.75" hidden="1" customHeight="1">
      <c r="A53" s="181"/>
      <c r="B53" s="181"/>
      <c r="C53" s="181"/>
      <c r="D53" s="181"/>
      <c r="E53" s="181"/>
      <c r="F53" s="181"/>
      <c r="G53" s="181"/>
      <c r="H53" s="181"/>
      <c r="I53" s="181"/>
      <c r="J53" s="181"/>
    </row>
    <row r="54" spans="1:11" ht="12.75" hidden="1" customHeight="1">
      <c r="A54" s="181"/>
      <c r="B54" s="181"/>
      <c r="C54" s="181"/>
      <c r="D54" s="181"/>
      <c r="E54" s="181"/>
      <c r="F54" s="181"/>
      <c r="G54" s="181"/>
      <c r="H54" s="181"/>
      <c r="I54" s="181"/>
      <c r="J54" s="181"/>
    </row>
    <row r="55" spans="1:11" ht="12.75" hidden="1" customHeight="1">
      <c r="A55" s="181"/>
      <c r="B55" s="181"/>
      <c r="C55" s="181"/>
      <c r="D55" s="181"/>
      <c r="E55" s="181"/>
      <c r="F55" s="181"/>
      <c r="G55" s="181"/>
      <c r="H55" s="181"/>
      <c r="I55" s="181"/>
      <c r="J55" s="181"/>
    </row>
    <row r="56" spans="1:11" ht="59.25" customHeight="1">
      <c r="A56" s="181"/>
      <c r="B56" s="181"/>
      <c r="C56" s="181"/>
      <c r="D56" s="181"/>
      <c r="E56" s="181"/>
      <c r="F56" s="181"/>
      <c r="G56" s="181"/>
      <c r="H56" s="181"/>
      <c r="I56" s="181"/>
      <c r="J56" s="181"/>
    </row>
    <row r="57" spans="1:11" ht="12.75" customHeight="1">
      <c r="A57" s="184"/>
      <c r="B57" s="181"/>
      <c r="C57" s="181"/>
      <c r="D57" s="181"/>
      <c r="E57" s="181"/>
      <c r="F57" s="181"/>
      <c r="G57" s="181"/>
      <c r="H57" s="181"/>
      <c r="I57" s="181"/>
      <c r="J57" s="181"/>
      <c r="K57" s="181"/>
    </row>
    <row r="58" spans="1:11" ht="12.75" customHeight="1">
      <c r="A58" s="181"/>
      <c r="B58" s="181"/>
      <c r="C58" s="181"/>
      <c r="D58" s="181"/>
      <c r="E58" s="181"/>
      <c r="F58" s="181"/>
      <c r="G58" s="181"/>
      <c r="H58" s="181"/>
      <c r="I58" s="181"/>
      <c r="J58" s="181"/>
      <c r="K58" s="181"/>
    </row>
    <row r="59" spans="1:11" ht="12.75" customHeight="1">
      <c r="A59" s="77"/>
      <c r="B59" s="77"/>
      <c r="C59" s="77"/>
      <c r="D59" s="77"/>
      <c r="E59" s="77"/>
      <c r="F59" s="77"/>
      <c r="G59" s="77"/>
      <c r="H59" s="77"/>
      <c r="I59" s="77"/>
      <c r="J59" s="77"/>
      <c r="K59" s="77"/>
    </row>
    <row r="60" spans="1:11" ht="12.75" customHeight="1">
      <c r="A60" s="77"/>
      <c r="B60" s="77"/>
      <c r="C60" s="77"/>
      <c r="D60" s="77"/>
      <c r="E60" s="77"/>
      <c r="F60" s="77"/>
      <c r="G60" s="77"/>
      <c r="H60" s="77"/>
      <c r="I60" s="77"/>
      <c r="J60" s="77"/>
    </row>
    <row r="61" spans="1:11" ht="12.75" customHeight="1">
      <c r="A61" s="77"/>
      <c r="B61" s="77"/>
      <c r="C61" s="77"/>
      <c r="D61" s="77"/>
      <c r="E61" s="77"/>
      <c r="F61" s="77"/>
      <c r="G61" s="77"/>
      <c r="H61" s="77"/>
      <c r="I61" s="77"/>
      <c r="J61" s="77"/>
    </row>
    <row r="62" spans="1:11" ht="12.75" customHeight="1">
      <c r="A62" s="77"/>
      <c r="B62" s="77"/>
      <c r="C62" s="77"/>
      <c r="D62" s="77"/>
      <c r="E62" s="77"/>
      <c r="F62" s="77"/>
      <c r="G62" s="77"/>
      <c r="H62" s="77"/>
      <c r="I62" s="77"/>
      <c r="J62" s="77"/>
    </row>
    <row r="63" spans="1:11" ht="12.75" customHeight="1">
      <c r="A63" s="77"/>
      <c r="B63" s="77"/>
      <c r="C63" s="77"/>
      <c r="D63" s="77"/>
      <c r="E63" s="77"/>
      <c r="F63" s="77"/>
      <c r="G63" s="77"/>
      <c r="H63" s="77"/>
      <c r="I63" s="77"/>
      <c r="J63" s="77"/>
    </row>
    <row r="64" spans="1:11" ht="12.75" customHeight="1">
      <c r="I64" s="283"/>
      <c r="J64" s="181"/>
    </row>
    <row r="65" spans="1:10" ht="15.75" customHeight="1">
      <c r="A65" s="240" t="s">
        <v>69</v>
      </c>
      <c r="B65" s="197"/>
      <c r="C65" s="197"/>
      <c r="D65" s="197"/>
      <c r="E65" s="197"/>
      <c r="F65" s="197"/>
      <c r="G65" s="197"/>
      <c r="H65" s="241" t="str">
        <f>'CONTACT INFORMATION'!$A$24</f>
        <v>San Francisco</v>
      </c>
      <c r="I65" s="197"/>
      <c r="J65" s="198"/>
    </row>
    <row r="66" spans="1:10" ht="12" customHeight="1">
      <c r="A66" s="49"/>
      <c r="B66" s="49"/>
      <c r="C66" s="49"/>
      <c r="D66" s="49"/>
      <c r="E66" s="49"/>
      <c r="F66" s="49"/>
      <c r="G66" s="49"/>
      <c r="H66" s="49"/>
      <c r="I66" s="49"/>
      <c r="J66" s="49"/>
    </row>
    <row r="67" spans="1:10" ht="12.75" customHeight="1">
      <c r="B67" s="278" t="s">
        <v>134</v>
      </c>
      <c r="C67" s="181"/>
      <c r="D67" s="181"/>
      <c r="E67" s="181"/>
      <c r="F67" s="181"/>
      <c r="G67" s="181"/>
      <c r="H67" s="181"/>
      <c r="I67" s="181"/>
      <c r="J67" s="50"/>
    </row>
    <row r="68" spans="1:10" ht="12.75" customHeight="1">
      <c r="A68" s="50"/>
      <c r="B68" s="181"/>
      <c r="C68" s="181"/>
      <c r="D68" s="181"/>
      <c r="E68" s="181"/>
      <c r="F68" s="181"/>
      <c r="G68" s="181"/>
      <c r="H68" s="181"/>
      <c r="I68" s="181"/>
      <c r="J68" s="50"/>
    </row>
    <row r="69" spans="1:10" ht="12.75" customHeight="1">
      <c r="A69" s="50"/>
      <c r="B69" s="181"/>
      <c r="C69" s="181"/>
      <c r="D69" s="181"/>
      <c r="E69" s="181"/>
      <c r="F69" s="181"/>
      <c r="G69" s="181"/>
      <c r="H69" s="181"/>
      <c r="I69" s="181"/>
      <c r="J69" s="50"/>
    </row>
    <row r="70" spans="1:10" ht="12.75" customHeight="1">
      <c r="A70" s="50"/>
      <c r="B70" s="83"/>
      <c r="C70" s="83"/>
      <c r="D70" s="83"/>
      <c r="E70" s="83"/>
      <c r="F70" s="83"/>
      <c r="G70" s="83"/>
      <c r="H70" s="83"/>
      <c r="I70" s="83"/>
      <c r="J70" s="83"/>
    </row>
    <row r="71" spans="1:10" ht="12.75" customHeight="1">
      <c r="A71" s="50"/>
      <c r="B71" s="278" t="s">
        <v>135</v>
      </c>
      <c r="C71" s="181"/>
      <c r="D71" s="181"/>
      <c r="E71" s="181"/>
      <c r="F71" s="181"/>
      <c r="G71" s="181"/>
      <c r="H71" s="181"/>
      <c r="I71" s="181"/>
      <c r="J71" s="50"/>
    </row>
    <row r="72" spans="1:10" ht="12.75" customHeight="1">
      <c r="A72" s="50"/>
      <c r="B72" s="181"/>
      <c r="C72" s="181"/>
      <c r="D72" s="181"/>
      <c r="E72" s="181"/>
      <c r="F72" s="181"/>
      <c r="G72" s="181"/>
      <c r="H72" s="181"/>
      <c r="I72" s="181"/>
      <c r="J72" s="50"/>
    </row>
    <row r="73" spans="1:10" ht="12.75" customHeight="1">
      <c r="A73" s="50"/>
      <c r="B73" s="181"/>
      <c r="C73" s="181"/>
      <c r="D73" s="181"/>
      <c r="E73" s="181"/>
      <c r="F73" s="181"/>
      <c r="G73" s="181"/>
      <c r="H73" s="181"/>
      <c r="I73" s="181"/>
      <c r="J73" s="50"/>
    </row>
    <row r="74" spans="1:10" ht="12.75" customHeight="1">
      <c r="A74" s="50"/>
      <c r="B74" s="181"/>
      <c r="C74" s="181"/>
      <c r="D74" s="181"/>
      <c r="E74" s="181"/>
      <c r="F74" s="181"/>
      <c r="G74" s="181"/>
      <c r="H74" s="181"/>
      <c r="I74" s="181"/>
      <c r="J74" s="50"/>
    </row>
    <row r="75" spans="1:10" ht="12.75" customHeight="1">
      <c r="A75" s="50"/>
      <c r="B75" s="181"/>
      <c r="C75" s="181"/>
      <c r="D75" s="181"/>
      <c r="E75" s="181"/>
      <c r="F75" s="181"/>
      <c r="G75" s="181"/>
      <c r="H75" s="181"/>
      <c r="I75" s="181"/>
      <c r="J75" s="83"/>
    </row>
    <row r="76" spans="1:10" ht="12.75" customHeight="1">
      <c r="A76" s="50"/>
      <c r="B76" s="83"/>
      <c r="C76" s="83"/>
      <c r="D76" s="83"/>
      <c r="E76" s="83"/>
      <c r="F76" s="83"/>
      <c r="G76" s="83"/>
      <c r="H76" s="83"/>
      <c r="I76" s="83"/>
      <c r="J76" s="83"/>
    </row>
    <row r="77" spans="1:10" ht="12.75" customHeight="1">
      <c r="B77" s="278" t="s">
        <v>136</v>
      </c>
      <c r="C77" s="181"/>
      <c r="D77" s="181"/>
      <c r="E77" s="181"/>
      <c r="F77" s="181"/>
      <c r="G77" s="181"/>
      <c r="H77" s="181"/>
      <c r="I77" s="181"/>
      <c r="J77" s="50"/>
    </row>
    <row r="78" spans="1:10" ht="12.75" customHeight="1">
      <c r="B78" s="181"/>
      <c r="C78" s="181"/>
      <c r="D78" s="181"/>
      <c r="E78" s="181"/>
      <c r="F78" s="181"/>
      <c r="G78" s="181"/>
      <c r="H78" s="181"/>
      <c r="I78" s="181"/>
      <c r="J78" s="50"/>
    </row>
    <row r="79" spans="1:10" ht="12.75" customHeight="1">
      <c r="B79" s="181"/>
      <c r="C79" s="181"/>
      <c r="D79" s="181"/>
      <c r="E79" s="181"/>
      <c r="F79" s="181"/>
      <c r="G79" s="181"/>
      <c r="H79" s="181"/>
      <c r="I79" s="181"/>
      <c r="J79" s="83"/>
    </row>
    <row r="80" spans="1:10" ht="12.75" customHeight="1">
      <c r="B80" s="83"/>
      <c r="C80" s="83"/>
      <c r="D80" s="83"/>
      <c r="E80" s="83"/>
      <c r="F80" s="83"/>
      <c r="G80" s="83"/>
      <c r="H80" s="83"/>
      <c r="I80" s="83"/>
      <c r="J80" s="83"/>
    </row>
    <row r="81" spans="1:10" ht="12.75" customHeight="1">
      <c r="B81" s="279" t="s">
        <v>137</v>
      </c>
      <c r="C81" s="181"/>
      <c r="D81" s="181"/>
      <c r="E81" s="181"/>
      <c r="F81" s="181"/>
      <c r="G81" s="181"/>
      <c r="H81" s="181"/>
      <c r="I81" s="181"/>
      <c r="J81" s="50"/>
    </row>
    <row r="82" spans="1:10" ht="12.75" customHeight="1">
      <c r="B82" s="181"/>
      <c r="C82" s="181"/>
      <c r="D82" s="181"/>
      <c r="E82" s="181"/>
      <c r="F82" s="181"/>
      <c r="G82" s="181"/>
      <c r="H82" s="181"/>
      <c r="I82" s="181"/>
      <c r="J82" s="50"/>
    </row>
    <row r="83" spans="1:10" ht="12.75" customHeight="1">
      <c r="B83" s="181"/>
      <c r="C83" s="181"/>
      <c r="D83" s="181"/>
      <c r="E83" s="181"/>
      <c r="F83" s="181"/>
      <c r="G83" s="181"/>
      <c r="H83" s="181"/>
      <c r="I83" s="181"/>
      <c r="J83" s="50"/>
    </row>
    <row r="84" spans="1:10" ht="12.75" customHeight="1">
      <c r="B84" s="181"/>
      <c r="C84" s="181"/>
      <c r="D84" s="181"/>
      <c r="E84" s="181"/>
      <c r="F84" s="181"/>
      <c r="G84" s="181"/>
      <c r="H84" s="181"/>
      <c r="I84" s="181"/>
      <c r="J84" s="83"/>
    </row>
    <row r="85" spans="1:10" ht="12.75" customHeight="1">
      <c r="B85" s="83"/>
      <c r="C85" s="83"/>
      <c r="D85" s="83"/>
      <c r="E85" s="83"/>
      <c r="F85" s="83"/>
      <c r="G85" s="83"/>
      <c r="H85" s="83"/>
      <c r="I85" s="83"/>
      <c r="J85" s="83"/>
    </row>
    <row r="86" spans="1:10" ht="12.75" customHeight="1">
      <c r="B86" s="278" t="s">
        <v>138</v>
      </c>
      <c r="C86" s="181"/>
      <c r="D86" s="181"/>
      <c r="E86" s="181"/>
      <c r="F86" s="181"/>
      <c r="G86" s="181"/>
      <c r="H86" s="181"/>
      <c r="I86" s="181"/>
      <c r="J86" s="49"/>
    </row>
    <row r="87" spans="1:10" ht="12.75" customHeight="1">
      <c r="B87" s="181"/>
      <c r="C87" s="181"/>
      <c r="D87" s="181"/>
      <c r="E87" s="181"/>
      <c r="F87" s="181"/>
      <c r="G87" s="181"/>
      <c r="H87" s="181"/>
      <c r="I87" s="181"/>
      <c r="J87" s="49"/>
    </row>
    <row r="88" spans="1:10" ht="12.75" customHeight="1">
      <c r="B88" s="181"/>
      <c r="C88" s="181"/>
      <c r="D88" s="181"/>
      <c r="E88" s="181"/>
      <c r="F88" s="181"/>
      <c r="G88" s="181"/>
      <c r="H88" s="181"/>
      <c r="I88" s="181"/>
      <c r="J88" s="49"/>
    </row>
    <row r="89" spans="1:10" ht="12.75" customHeight="1">
      <c r="B89" s="77"/>
      <c r="C89" s="77"/>
      <c r="D89" s="77"/>
      <c r="E89" s="77"/>
      <c r="F89" s="77"/>
      <c r="G89" s="77"/>
      <c r="H89" s="77"/>
      <c r="I89" s="77"/>
      <c r="J89" s="77"/>
    </row>
    <row r="90" spans="1:10" ht="12.75" customHeight="1">
      <c r="B90" s="278" t="s">
        <v>139</v>
      </c>
      <c r="C90" s="181"/>
      <c r="D90" s="181"/>
      <c r="E90" s="181"/>
      <c r="F90" s="181"/>
      <c r="G90" s="181"/>
      <c r="H90" s="181"/>
      <c r="I90" s="181"/>
      <c r="J90" s="49"/>
    </row>
    <row r="91" spans="1:10" ht="24.75" customHeight="1">
      <c r="B91" s="181"/>
      <c r="C91" s="181"/>
      <c r="D91" s="181"/>
      <c r="E91" s="181"/>
      <c r="F91" s="181"/>
      <c r="G91" s="181"/>
      <c r="H91" s="181"/>
      <c r="I91" s="181"/>
      <c r="J91" s="49"/>
    </row>
    <row r="92" spans="1:10" ht="9" customHeight="1"/>
    <row r="93" spans="1:10" ht="4.5" customHeight="1"/>
    <row r="94" spans="1:10" ht="12.75" customHeight="1">
      <c r="A94" s="280" t="s">
        <v>140</v>
      </c>
      <c r="B94" s="181"/>
      <c r="C94" s="181"/>
      <c r="D94" s="181"/>
      <c r="E94" s="181"/>
      <c r="F94" s="181"/>
      <c r="G94" s="181"/>
      <c r="H94" s="181"/>
      <c r="I94" s="181"/>
      <c r="J94" s="181"/>
    </row>
    <row r="95" spans="1:10" ht="12.75" customHeight="1">
      <c r="A95" s="181"/>
      <c r="B95" s="181"/>
      <c r="C95" s="181"/>
      <c r="D95" s="181"/>
      <c r="E95" s="181"/>
      <c r="F95" s="181"/>
      <c r="G95" s="181"/>
      <c r="H95" s="181"/>
      <c r="I95" s="181"/>
      <c r="J95" s="181"/>
    </row>
    <row r="96" spans="1:10" ht="12.75" customHeight="1">
      <c r="A96" s="181"/>
      <c r="B96" s="181"/>
      <c r="C96" s="181"/>
      <c r="D96" s="181"/>
      <c r="E96" s="181"/>
      <c r="F96" s="181"/>
      <c r="G96" s="181"/>
      <c r="H96" s="181"/>
      <c r="I96" s="181"/>
      <c r="J96" s="181"/>
    </row>
    <row r="97" spans="1:11" ht="12.75" hidden="1" customHeight="1">
      <c r="A97" s="181"/>
      <c r="B97" s="181"/>
      <c r="C97" s="181"/>
      <c r="D97" s="181"/>
      <c r="E97" s="181"/>
      <c r="F97" s="181"/>
      <c r="G97" s="181"/>
      <c r="H97" s="181"/>
      <c r="I97" s="181"/>
      <c r="J97" s="181"/>
    </row>
    <row r="98" spans="1:11" ht="12.75" hidden="1" customHeight="1">
      <c r="A98" s="181"/>
      <c r="B98" s="181"/>
      <c r="C98" s="181"/>
      <c r="D98" s="181"/>
      <c r="E98" s="181"/>
      <c r="F98" s="181"/>
      <c r="G98" s="181"/>
      <c r="H98" s="181"/>
      <c r="I98" s="181"/>
      <c r="J98" s="181"/>
    </row>
    <row r="99" spans="1:11" ht="12.75" hidden="1" customHeight="1">
      <c r="A99" s="181"/>
      <c r="B99" s="181"/>
      <c r="C99" s="181"/>
      <c r="D99" s="181"/>
      <c r="E99" s="181"/>
      <c r="F99" s="181"/>
      <c r="G99" s="181"/>
      <c r="H99" s="181"/>
      <c r="I99" s="181"/>
      <c r="J99" s="181"/>
    </row>
    <row r="100" spans="1:11" ht="12.75" hidden="1" customHeight="1">
      <c r="A100" s="181"/>
      <c r="B100" s="181"/>
      <c r="C100" s="181"/>
      <c r="D100" s="181"/>
      <c r="E100" s="181"/>
      <c r="F100" s="181"/>
      <c r="G100" s="181"/>
      <c r="H100" s="181"/>
      <c r="I100" s="181"/>
      <c r="J100" s="181"/>
    </row>
    <row r="101" spans="1:11" ht="4.5" customHeight="1">
      <c r="A101" s="181"/>
      <c r="B101" s="181"/>
      <c r="C101" s="181"/>
      <c r="D101" s="181"/>
      <c r="E101" s="181"/>
      <c r="F101" s="181"/>
      <c r="G101" s="181"/>
      <c r="H101" s="181"/>
      <c r="I101" s="181"/>
      <c r="J101" s="181"/>
    </row>
    <row r="102" spans="1:11" ht="7.5" customHeight="1">
      <c r="A102" s="49"/>
      <c r="B102" s="49"/>
      <c r="C102" s="49"/>
      <c r="D102" s="49"/>
      <c r="E102" s="49"/>
      <c r="F102" s="49"/>
      <c r="G102" s="49"/>
      <c r="H102" s="49"/>
      <c r="I102" s="49"/>
      <c r="J102" s="49"/>
    </row>
    <row r="103" spans="1:11" ht="12.75" customHeight="1">
      <c r="A103" s="280" t="s">
        <v>141</v>
      </c>
      <c r="B103" s="181"/>
      <c r="C103" s="181"/>
      <c r="D103" s="181"/>
      <c r="E103" s="181"/>
      <c r="F103" s="181"/>
      <c r="G103" s="181"/>
      <c r="H103" s="181"/>
      <c r="I103" s="181"/>
      <c r="J103" s="181"/>
    </row>
    <row r="104" spans="1:11" ht="12.75" customHeight="1">
      <c r="A104" s="181"/>
      <c r="B104" s="181"/>
      <c r="C104" s="181"/>
      <c r="D104" s="181"/>
      <c r="E104" s="181"/>
      <c r="F104" s="181"/>
      <c r="G104" s="181"/>
      <c r="H104" s="181"/>
      <c r="I104" s="181"/>
      <c r="J104" s="181"/>
    </row>
    <row r="105" spans="1:11" ht="12.75" customHeight="1">
      <c r="A105" s="181"/>
      <c r="B105" s="181"/>
      <c r="C105" s="181"/>
      <c r="D105" s="181"/>
      <c r="E105" s="181"/>
      <c r="F105" s="181"/>
      <c r="G105" s="181"/>
      <c r="H105" s="181"/>
      <c r="I105" s="181"/>
      <c r="J105" s="181"/>
    </row>
    <row r="106" spans="1:11" ht="12.75" customHeight="1">
      <c r="A106" s="49"/>
      <c r="B106" s="49"/>
      <c r="C106" s="49"/>
      <c r="D106" s="49"/>
      <c r="E106" s="49"/>
      <c r="F106" s="49"/>
      <c r="G106" s="49"/>
      <c r="H106" s="49"/>
      <c r="I106" s="49"/>
      <c r="J106" s="49"/>
    </row>
    <row r="107" spans="1:11" ht="20.25" customHeight="1">
      <c r="A107" s="184" t="s">
        <v>142</v>
      </c>
      <c r="B107" s="181"/>
      <c r="C107" s="181"/>
      <c r="D107" s="181"/>
      <c r="E107" s="181"/>
      <c r="F107" s="181"/>
      <c r="G107" s="181"/>
      <c r="H107" s="181"/>
      <c r="I107" s="181"/>
      <c r="J107" s="181"/>
      <c r="K107" s="181"/>
    </row>
    <row r="108" spans="1:11" ht="12.75" customHeight="1">
      <c r="A108" s="49"/>
      <c r="B108" s="49"/>
      <c r="C108" s="49"/>
      <c r="D108" s="49"/>
      <c r="E108" s="49"/>
      <c r="F108" s="49"/>
      <c r="G108" s="49"/>
      <c r="H108" s="49"/>
      <c r="I108" s="49"/>
      <c r="J108" s="49"/>
    </row>
    <row r="109" spans="1:11" ht="12.75" customHeight="1">
      <c r="A109" s="49"/>
      <c r="B109" s="49"/>
      <c r="C109" s="49"/>
      <c r="D109" s="49"/>
      <c r="E109" s="49"/>
      <c r="F109" s="49"/>
      <c r="G109" s="49"/>
      <c r="H109" s="49"/>
      <c r="I109" s="49"/>
      <c r="J109" s="49"/>
    </row>
    <row r="110" spans="1:11" ht="12.75" customHeight="1">
      <c r="A110" s="49"/>
      <c r="B110" s="49"/>
      <c r="C110" s="49"/>
      <c r="D110" s="49"/>
      <c r="E110" s="49"/>
      <c r="F110" s="49"/>
      <c r="G110" s="49"/>
      <c r="H110" s="49"/>
      <c r="I110" s="49"/>
      <c r="J110" s="49"/>
    </row>
    <row r="111" spans="1:11" ht="12.75" customHeight="1">
      <c r="A111" s="49"/>
      <c r="B111" s="49"/>
      <c r="C111" s="49"/>
      <c r="D111" s="49"/>
      <c r="E111" s="49"/>
      <c r="F111" s="49"/>
      <c r="G111" s="49"/>
      <c r="H111" s="49"/>
      <c r="I111" s="49"/>
      <c r="J111" s="49"/>
    </row>
    <row r="112" spans="1:11" ht="12.75" customHeight="1">
      <c r="A112" s="49"/>
      <c r="B112" s="49"/>
      <c r="C112" s="49"/>
      <c r="D112" s="49"/>
      <c r="E112" s="49"/>
      <c r="F112" s="49"/>
      <c r="G112" s="49"/>
      <c r="H112" s="49"/>
      <c r="I112" s="49"/>
      <c r="J112" s="49"/>
    </row>
    <row r="113" spans="1:12" ht="12.75" customHeight="1">
      <c r="A113" s="49"/>
      <c r="B113" s="49"/>
      <c r="C113" s="49"/>
      <c r="D113" s="49"/>
      <c r="E113" s="49"/>
      <c r="F113" s="49"/>
      <c r="G113" s="49"/>
      <c r="H113" s="49"/>
      <c r="I113" s="49"/>
      <c r="J113" s="49"/>
    </row>
    <row r="114" spans="1:12" ht="12.75" customHeight="1">
      <c r="A114" s="49"/>
      <c r="B114" s="49"/>
      <c r="C114" s="49"/>
      <c r="D114" s="49"/>
      <c r="E114" s="49"/>
      <c r="F114" s="49"/>
      <c r="G114" s="49"/>
      <c r="H114" s="49"/>
      <c r="I114" s="49"/>
      <c r="J114" s="49"/>
    </row>
    <row r="115" spans="1:12" ht="12.75" customHeight="1">
      <c r="A115" s="49"/>
      <c r="B115" s="49"/>
      <c r="C115" s="49"/>
      <c r="D115" s="49"/>
      <c r="E115" s="49"/>
      <c r="F115" s="49"/>
      <c r="G115" s="49"/>
      <c r="H115" s="49"/>
      <c r="I115" s="49"/>
      <c r="J115" s="49"/>
    </row>
    <row r="116" spans="1:12" ht="12.75" customHeight="1">
      <c r="A116" s="49"/>
      <c r="B116" s="49"/>
      <c r="C116" s="49"/>
      <c r="D116" s="49"/>
      <c r="E116" s="49"/>
      <c r="F116" s="49"/>
      <c r="G116" s="49"/>
      <c r="H116" s="49"/>
      <c r="I116" s="49"/>
      <c r="J116" s="49"/>
    </row>
    <row r="117" spans="1:12" ht="12.75" customHeight="1">
      <c r="A117" s="49"/>
      <c r="B117" s="49"/>
      <c r="C117" s="49"/>
      <c r="D117" s="49"/>
      <c r="E117" s="49"/>
      <c r="F117" s="49"/>
      <c r="G117" s="49"/>
      <c r="H117" s="49"/>
      <c r="I117" s="49"/>
      <c r="J117" s="49"/>
    </row>
    <row r="118" spans="1:12" ht="12.75" customHeight="1">
      <c r="A118" s="49"/>
      <c r="B118" s="49"/>
      <c r="C118" s="49"/>
      <c r="D118" s="49"/>
      <c r="E118" s="49"/>
      <c r="F118" s="49"/>
      <c r="G118" s="49"/>
      <c r="H118" s="49"/>
      <c r="I118" s="49"/>
      <c r="J118" s="49"/>
    </row>
    <row r="119" spans="1:12" ht="12.75" customHeight="1">
      <c r="A119" s="49"/>
      <c r="B119" s="49"/>
      <c r="C119" s="49"/>
      <c r="D119" s="49"/>
      <c r="E119" s="49"/>
      <c r="F119" s="49"/>
      <c r="G119" s="49"/>
      <c r="H119" s="49"/>
      <c r="I119" s="49"/>
      <c r="J119" s="49"/>
    </row>
    <row r="120" spans="1:12" ht="12.75" customHeight="1">
      <c r="A120" s="49"/>
      <c r="B120" s="49"/>
      <c r="C120" s="49"/>
      <c r="D120" s="49"/>
      <c r="E120" s="49"/>
      <c r="F120" s="49"/>
      <c r="G120" s="49"/>
      <c r="H120" s="49"/>
      <c r="I120" s="49"/>
      <c r="J120" s="49"/>
    </row>
    <row r="121" spans="1:12" ht="12.75" customHeight="1">
      <c r="A121" s="49"/>
      <c r="B121" s="49"/>
      <c r="C121" s="49"/>
      <c r="D121" s="49"/>
      <c r="E121" s="49"/>
      <c r="F121" s="49"/>
      <c r="G121" s="49"/>
      <c r="H121" s="49"/>
      <c r="I121" s="49"/>
      <c r="J121" s="49"/>
    </row>
    <row r="122" spans="1:12" ht="12.75" customHeight="1">
      <c r="A122" s="49"/>
      <c r="B122" s="49"/>
      <c r="C122" s="49"/>
      <c r="D122" s="49"/>
      <c r="E122" s="49"/>
      <c r="F122" s="49"/>
      <c r="G122" s="49"/>
      <c r="H122" s="49"/>
      <c r="I122" s="49"/>
      <c r="J122" s="49"/>
    </row>
    <row r="123" spans="1:12" ht="12.75" customHeight="1">
      <c r="A123" s="49"/>
      <c r="B123" s="49"/>
      <c r="C123" s="49"/>
      <c r="D123" s="49"/>
      <c r="E123" s="49"/>
      <c r="F123" s="49"/>
      <c r="G123" s="49"/>
      <c r="H123" s="49"/>
      <c r="I123" s="49"/>
      <c r="J123" s="49"/>
    </row>
    <row r="124" spans="1:12" ht="12.75" customHeight="1">
      <c r="A124" s="49"/>
      <c r="B124" s="49"/>
      <c r="C124" s="49"/>
      <c r="D124" s="49"/>
      <c r="E124" s="49"/>
      <c r="F124" s="49"/>
      <c r="G124" s="49"/>
      <c r="H124" s="49"/>
      <c r="I124" s="49"/>
      <c r="J124" s="49"/>
    </row>
    <row r="125" spans="1:12" ht="12.75" customHeight="1">
      <c r="A125" s="240" t="s">
        <v>69</v>
      </c>
      <c r="B125" s="197"/>
      <c r="C125" s="197"/>
      <c r="D125" s="197"/>
      <c r="E125" s="197"/>
      <c r="F125" s="197"/>
      <c r="G125" s="197"/>
      <c r="H125" s="241" t="str">
        <f>'CONTACT INFORMATION'!$A$24</f>
        <v>San Francisco</v>
      </c>
      <c r="I125" s="197"/>
      <c r="J125" s="198"/>
      <c r="K125" s="20"/>
      <c r="L125" s="20"/>
    </row>
    <row r="126" spans="1:12" ht="8.25" customHeight="1">
      <c r="A126" s="26"/>
      <c r="B126" s="26"/>
      <c r="C126" s="26"/>
      <c r="D126" s="26"/>
      <c r="E126" s="26"/>
      <c r="F126" s="26"/>
      <c r="G126" s="26"/>
      <c r="H126" s="26"/>
      <c r="I126" s="26"/>
      <c r="J126" s="26"/>
      <c r="K126" s="20"/>
      <c r="L126" s="20"/>
    </row>
    <row r="127" spans="1:12" ht="12.75" customHeight="1">
      <c r="A127" s="271" t="s">
        <v>143</v>
      </c>
      <c r="B127" s="197"/>
      <c r="C127" s="197"/>
      <c r="D127" s="197"/>
      <c r="E127" s="197"/>
      <c r="F127" s="197"/>
      <c r="G127" s="197"/>
      <c r="H127" s="197"/>
      <c r="I127" s="197"/>
      <c r="J127" s="198"/>
    </row>
    <row r="128" spans="1:12" ht="12.75" customHeight="1">
      <c r="A128" s="273" t="s">
        <v>144</v>
      </c>
      <c r="B128" s="177"/>
      <c r="C128" s="177"/>
      <c r="D128" s="178"/>
      <c r="E128" s="276" t="s">
        <v>928</v>
      </c>
      <c r="F128" s="177"/>
      <c r="G128" s="177"/>
      <c r="H128" s="177"/>
      <c r="I128" s="177"/>
      <c r="J128" s="178"/>
    </row>
    <row r="129" spans="1:16" ht="12.75" customHeight="1">
      <c r="A129" s="274" t="s">
        <v>145</v>
      </c>
      <c r="B129" s="188"/>
      <c r="C129" s="188"/>
      <c r="D129" s="189"/>
      <c r="E129" s="201"/>
      <c r="F129" s="188"/>
      <c r="G129" s="188"/>
      <c r="H129" s="188"/>
      <c r="I129" s="188"/>
      <c r="J129" s="189"/>
    </row>
    <row r="130" spans="1:16" ht="12.75" customHeight="1">
      <c r="A130" s="275" t="s">
        <v>146</v>
      </c>
      <c r="B130" s="197"/>
      <c r="C130" s="197"/>
      <c r="D130" s="198"/>
      <c r="E130" s="230" t="s">
        <v>121</v>
      </c>
      <c r="F130" s="197"/>
      <c r="G130" s="197"/>
      <c r="H130" s="197"/>
      <c r="I130" s="197"/>
      <c r="J130" s="198"/>
    </row>
    <row r="131" spans="1:16" ht="27" customHeight="1">
      <c r="A131" s="126"/>
      <c r="B131" s="128"/>
      <c r="C131" s="128"/>
      <c r="D131" s="128"/>
      <c r="E131" s="269" t="s">
        <v>147</v>
      </c>
      <c r="F131" s="188"/>
      <c r="G131" s="269" t="s">
        <v>148</v>
      </c>
      <c r="H131" s="188"/>
      <c r="I131" s="270" t="s">
        <v>149</v>
      </c>
      <c r="J131" s="189"/>
    </row>
    <row r="132" spans="1:16" ht="12.75" customHeight="1">
      <c r="A132" s="227" t="s">
        <v>150</v>
      </c>
      <c r="B132" s="197"/>
      <c r="C132" s="197"/>
      <c r="D132" s="198"/>
      <c r="E132" s="262"/>
      <c r="F132" s="198"/>
      <c r="G132" s="262">
        <v>132803.155</v>
      </c>
      <c r="H132" s="198"/>
      <c r="I132" s="263"/>
      <c r="J132" s="198"/>
    </row>
    <row r="133" spans="1:16" ht="12.75" customHeight="1">
      <c r="A133" s="265" t="s">
        <v>151</v>
      </c>
      <c r="B133" s="197"/>
      <c r="C133" s="197"/>
      <c r="D133" s="198"/>
      <c r="E133" s="260"/>
      <c r="F133" s="198"/>
      <c r="G133" s="261"/>
      <c r="H133" s="198"/>
      <c r="I133" s="264"/>
      <c r="J133" s="198"/>
    </row>
    <row r="134" spans="1:16" ht="12.75" customHeight="1">
      <c r="A134" s="227" t="s">
        <v>152</v>
      </c>
      <c r="B134" s="197"/>
      <c r="C134" s="197"/>
      <c r="D134" s="198"/>
      <c r="E134" s="262"/>
      <c r="F134" s="198"/>
      <c r="G134" s="262"/>
      <c r="H134" s="198"/>
      <c r="I134" s="263"/>
      <c r="J134" s="198"/>
    </row>
    <row r="135" spans="1:16" ht="12.75" customHeight="1">
      <c r="A135" s="265" t="s">
        <v>153</v>
      </c>
      <c r="B135" s="197"/>
      <c r="C135" s="197"/>
      <c r="D135" s="198"/>
      <c r="E135" s="260"/>
      <c r="F135" s="198"/>
      <c r="G135" s="261">
        <v>1695205.05</v>
      </c>
      <c r="H135" s="198"/>
      <c r="I135" s="264"/>
      <c r="J135" s="198"/>
    </row>
    <row r="136" spans="1:16" ht="12.75" customHeight="1">
      <c r="A136" s="227" t="s">
        <v>154</v>
      </c>
      <c r="B136" s="197"/>
      <c r="C136" s="197"/>
      <c r="D136" s="198"/>
      <c r="E136" s="262"/>
      <c r="F136" s="198"/>
      <c r="G136" s="262"/>
      <c r="H136" s="198"/>
      <c r="I136" s="263"/>
      <c r="J136" s="198"/>
    </row>
    <row r="137" spans="1:16" ht="12.75" customHeight="1">
      <c r="A137" s="265" t="s">
        <v>155</v>
      </c>
      <c r="B137" s="197"/>
      <c r="C137" s="197"/>
      <c r="D137" s="198"/>
      <c r="E137" s="260"/>
      <c r="F137" s="198"/>
      <c r="G137" s="261"/>
      <c r="H137" s="198"/>
      <c r="I137" s="264"/>
      <c r="J137" s="198"/>
    </row>
    <row r="138" spans="1:16" ht="12.75" customHeight="1">
      <c r="A138" s="227" t="s">
        <v>156</v>
      </c>
      <c r="B138" s="197"/>
      <c r="C138" s="197"/>
      <c r="D138" s="198"/>
      <c r="E138" s="266"/>
      <c r="F138" s="198"/>
      <c r="G138" s="266"/>
      <c r="H138" s="198"/>
      <c r="I138" s="267"/>
      <c r="J138" s="198"/>
      <c r="M138" s="87"/>
    </row>
    <row r="139" spans="1:16" ht="12.75" customHeight="1">
      <c r="A139" s="259"/>
      <c r="B139" s="197"/>
      <c r="C139" s="197"/>
      <c r="D139" s="198"/>
      <c r="E139" s="260"/>
      <c r="F139" s="198"/>
      <c r="G139" s="261"/>
      <c r="H139" s="198"/>
      <c r="I139" s="261"/>
      <c r="J139" s="198"/>
    </row>
    <row r="140" spans="1:16" ht="12.75" customHeight="1">
      <c r="A140" s="259"/>
      <c r="B140" s="197"/>
      <c r="C140" s="197"/>
      <c r="D140" s="198"/>
      <c r="E140" s="260"/>
      <c r="F140" s="198"/>
      <c r="G140" s="261"/>
      <c r="H140" s="198"/>
      <c r="I140" s="261"/>
      <c r="J140" s="198"/>
    </row>
    <row r="141" spans="1:16" ht="12.75" customHeight="1">
      <c r="A141" s="259"/>
      <c r="B141" s="197"/>
      <c r="C141" s="197"/>
      <c r="D141" s="198"/>
      <c r="E141" s="260"/>
      <c r="F141" s="198"/>
      <c r="G141" s="261"/>
      <c r="H141" s="198"/>
      <c r="I141" s="261"/>
      <c r="J141" s="198"/>
      <c r="P141" s="3"/>
    </row>
    <row r="142" spans="1:16" ht="12.75" customHeight="1">
      <c r="A142" s="231" t="s">
        <v>157</v>
      </c>
      <c r="B142" s="197"/>
      <c r="C142" s="197"/>
      <c r="D142" s="198"/>
      <c r="E142" s="256">
        <f>SUM(E132:E141)</f>
        <v>0</v>
      </c>
      <c r="F142" s="198"/>
      <c r="G142" s="256">
        <f>SUM(G132:G141)</f>
        <v>1828008.2050000001</v>
      </c>
      <c r="H142" s="198"/>
      <c r="I142" s="256">
        <f>SUM(I132:I141)</f>
        <v>0</v>
      </c>
      <c r="J142" s="198"/>
      <c r="L142" s="78"/>
    </row>
    <row r="143" spans="1:16" ht="14.25" customHeight="1">
      <c r="A143" s="257" t="s">
        <v>158</v>
      </c>
      <c r="B143" s="177"/>
      <c r="C143" s="177"/>
      <c r="D143" s="177"/>
      <c r="E143" s="177"/>
      <c r="F143" s="177"/>
      <c r="G143" s="177"/>
      <c r="H143" s="177"/>
      <c r="I143" s="177"/>
      <c r="J143" s="178"/>
      <c r="L143" s="78"/>
    </row>
    <row r="144" spans="1:16" ht="14.25" customHeight="1">
      <c r="A144" s="258" t="s">
        <v>159</v>
      </c>
      <c r="B144" s="192"/>
      <c r="C144" s="192"/>
      <c r="D144" s="192"/>
      <c r="E144" s="192"/>
      <c r="F144" s="192"/>
      <c r="G144" s="192"/>
      <c r="H144" s="192"/>
      <c r="I144" s="192"/>
      <c r="J144" s="182"/>
      <c r="L144" s="78"/>
    </row>
    <row r="145" spans="1:14" ht="14.25" customHeight="1">
      <c r="A145" s="258" t="s">
        <v>160</v>
      </c>
      <c r="B145" s="192"/>
      <c r="C145" s="192"/>
      <c r="D145" s="192"/>
      <c r="E145" s="192"/>
      <c r="F145" s="192"/>
      <c r="G145" s="192"/>
      <c r="H145" s="192"/>
      <c r="I145" s="192"/>
      <c r="J145" s="182"/>
      <c r="L145" s="78"/>
      <c r="N145" s="86"/>
    </row>
    <row r="146" spans="1:14" ht="14.25" customHeight="1">
      <c r="A146" s="268" t="s">
        <v>161</v>
      </c>
      <c r="B146" s="188"/>
      <c r="C146" s="188"/>
      <c r="D146" s="188"/>
      <c r="E146" s="188"/>
      <c r="F146" s="188"/>
      <c r="G146" s="188"/>
      <c r="H146" s="188"/>
      <c r="I146" s="188"/>
      <c r="J146" s="189"/>
      <c r="L146" s="78"/>
    </row>
    <row r="147" spans="1:14" ht="15" customHeight="1">
      <c r="A147" s="277" t="s">
        <v>162</v>
      </c>
      <c r="B147" s="177"/>
      <c r="C147" s="177"/>
      <c r="D147" s="177"/>
      <c r="E147" s="177"/>
      <c r="F147" s="177"/>
      <c r="G147" s="177"/>
      <c r="H147" s="177"/>
      <c r="I147" s="177"/>
      <c r="J147" s="178"/>
      <c r="L147" s="78"/>
    </row>
    <row r="148" spans="1:14" ht="15" customHeight="1">
      <c r="A148" s="183"/>
      <c r="B148" s="181"/>
      <c r="C148" s="181"/>
      <c r="D148" s="181"/>
      <c r="E148" s="181"/>
      <c r="F148" s="181"/>
      <c r="G148" s="181"/>
      <c r="H148" s="181"/>
      <c r="I148" s="181"/>
      <c r="J148" s="182"/>
    </row>
    <row r="149" spans="1:14" ht="15" customHeight="1">
      <c r="A149" s="183"/>
      <c r="B149" s="181"/>
      <c r="C149" s="181"/>
      <c r="D149" s="181"/>
      <c r="E149" s="181"/>
      <c r="F149" s="181"/>
      <c r="G149" s="181"/>
      <c r="H149" s="181"/>
      <c r="I149" s="181"/>
      <c r="J149" s="182"/>
    </row>
    <row r="150" spans="1:14" ht="15" customHeight="1">
      <c r="A150" s="183"/>
      <c r="B150" s="181"/>
      <c r="C150" s="181"/>
      <c r="D150" s="181"/>
      <c r="E150" s="181"/>
      <c r="F150" s="181"/>
      <c r="G150" s="181"/>
      <c r="H150" s="181"/>
      <c r="I150" s="181"/>
      <c r="J150" s="182"/>
    </row>
    <row r="151" spans="1:14" ht="15" customHeight="1">
      <c r="A151" s="183"/>
      <c r="B151" s="181"/>
      <c r="C151" s="181"/>
      <c r="D151" s="181"/>
      <c r="E151" s="181"/>
      <c r="F151" s="181"/>
      <c r="G151" s="181"/>
      <c r="H151" s="181"/>
      <c r="I151" s="181"/>
      <c r="J151" s="182"/>
    </row>
    <row r="152" spans="1:14" ht="15" customHeight="1">
      <c r="A152" s="183"/>
      <c r="B152" s="181"/>
      <c r="C152" s="181"/>
      <c r="D152" s="181"/>
      <c r="E152" s="181"/>
      <c r="F152" s="181"/>
      <c r="G152" s="181"/>
      <c r="H152" s="181"/>
      <c r="I152" s="181"/>
      <c r="J152" s="182"/>
    </row>
    <row r="153" spans="1:14" ht="15" customHeight="1">
      <c r="A153" s="183"/>
      <c r="B153" s="181"/>
      <c r="C153" s="181"/>
      <c r="D153" s="181"/>
      <c r="E153" s="181"/>
      <c r="F153" s="181"/>
      <c r="G153" s="181"/>
      <c r="H153" s="181"/>
      <c r="I153" s="181"/>
      <c r="J153" s="182"/>
    </row>
    <row r="154" spans="1:14" ht="15" customHeight="1">
      <c r="A154" s="183"/>
      <c r="B154" s="181"/>
      <c r="C154" s="181"/>
      <c r="D154" s="181"/>
      <c r="E154" s="181"/>
      <c r="F154" s="181"/>
      <c r="G154" s="181"/>
      <c r="H154" s="181"/>
      <c r="I154" s="181"/>
      <c r="J154" s="182"/>
    </row>
    <row r="155" spans="1:14" ht="15" customHeight="1">
      <c r="A155" s="183"/>
      <c r="B155" s="181"/>
      <c r="C155" s="181"/>
      <c r="D155" s="181"/>
      <c r="E155" s="181"/>
      <c r="F155" s="181"/>
      <c r="G155" s="181"/>
      <c r="H155" s="181"/>
      <c r="I155" s="181"/>
      <c r="J155" s="182"/>
    </row>
    <row r="156" spans="1:14" ht="15" customHeight="1">
      <c r="A156" s="183"/>
      <c r="B156" s="181"/>
      <c r="C156" s="181"/>
      <c r="D156" s="181"/>
      <c r="E156" s="181"/>
      <c r="F156" s="181"/>
      <c r="G156" s="181"/>
      <c r="H156" s="181"/>
      <c r="I156" s="181"/>
      <c r="J156" s="182"/>
    </row>
    <row r="157" spans="1:14" ht="15" customHeight="1">
      <c r="A157" s="183"/>
      <c r="B157" s="181"/>
      <c r="C157" s="181"/>
      <c r="D157" s="181"/>
      <c r="E157" s="181"/>
      <c r="F157" s="181"/>
      <c r="G157" s="181"/>
      <c r="H157" s="181"/>
      <c r="I157" s="181"/>
      <c r="J157" s="182"/>
      <c r="L157" s="78"/>
    </row>
    <row r="158" spans="1:14" ht="15" customHeight="1">
      <c r="A158" s="183"/>
      <c r="B158" s="181"/>
      <c r="C158" s="181"/>
      <c r="D158" s="181"/>
      <c r="E158" s="181"/>
      <c r="F158" s="181"/>
      <c r="G158" s="181"/>
      <c r="H158" s="181"/>
      <c r="I158" s="181"/>
      <c r="J158" s="182"/>
      <c r="L158" s="78"/>
    </row>
    <row r="159" spans="1:14" ht="15" customHeight="1">
      <c r="A159" s="183"/>
      <c r="B159" s="181"/>
      <c r="C159" s="181"/>
      <c r="D159" s="181"/>
      <c r="E159" s="181"/>
      <c r="F159" s="181"/>
      <c r="G159" s="181"/>
      <c r="H159" s="181"/>
      <c r="I159" s="181"/>
      <c r="J159" s="182"/>
      <c r="L159" s="78"/>
    </row>
    <row r="160" spans="1:14" ht="15" customHeight="1">
      <c r="A160" s="183"/>
      <c r="B160" s="181"/>
      <c r="C160" s="181"/>
      <c r="D160" s="181"/>
      <c r="E160" s="181"/>
      <c r="F160" s="181"/>
      <c r="G160" s="181"/>
      <c r="H160" s="181"/>
      <c r="I160" s="181"/>
      <c r="J160" s="182"/>
      <c r="L160" s="78"/>
    </row>
    <row r="161" spans="1:12" ht="15" customHeight="1">
      <c r="A161" s="183"/>
      <c r="B161" s="181"/>
      <c r="C161" s="181"/>
      <c r="D161" s="181"/>
      <c r="E161" s="181"/>
      <c r="F161" s="181"/>
      <c r="G161" s="181"/>
      <c r="H161" s="181"/>
      <c r="I161" s="181"/>
      <c r="J161" s="182"/>
      <c r="L161" s="78"/>
    </row>
    <row r="162" spans="1:12" ht="15" customHeight="1">
      <c r="A162" s="183"/>
      <c r="B162" s="181"/>
      <c r="C162" s="181"/>
      <c r="D162" s="181"/>
      <c r="E162" s="181"/>
      <c r="F162" s="181"/>
      <c r="G162" s="181"/>
      <c r="H162" s="181"/>
      <c r="I162" s="181"/>
      <c r="J162" s="182"/>
      <c r="L162" s="78"/>
    </row>
    <row r="163" spans="1:12" ht="15" customHeight="1">
      <c r="A163" s="183"/>
      <c r="B163" s="181"/>
      <c r="C163" s="181"/>
      <c r="D163" s="181"/>
      <c r="E163" s="181"/>
      <c r="F163" s="181"/>
      <c r="G163" s="181"/>
      <c r="H163" s="181"/>
      <c r="I163" s="181"/>
      <c r="J163" s="182"/>
      <c r="L163" s="78"/>
    </row>
    <row r="164" spans="1:12" ht="15" customHeight="1">
      <c r="A164" s="183"/>
      <c r="B164" s="181"/>
      <c r="C164" s="181"/>
      <c r="D164" s="181"/>
      <c r="E164" s="181"/>
      <c r="F164" s="181"/>
      <c r="G164" s="181"/>
      <c r="H164" s="181"/>
      <c r="I164" s="181"/>
      <c r="J164" s="182"/>
      <c r="L164" s="78"/>
    </row>
    <row r="165" spans="1:12" ht="15" customHeight="1">
      <c r="A165" s="183"/>
      <c r="B165" s="181"/>
      <c r="C165" s="181"/>
      <c r="D165" s="181"/>
      <c r="E165" s="181"/>
      <c r="F165" s="181"/>
      <c r="G165" s="181"/>
      <c r="H165" s="181"/>
      <c r="I165" s="181"/>
      <c r="J165" s="182"/>
      <c r="L165" s="78"/>
    </row>
    <row r="166" spans="1:12" ht="15" customHeight="1">
      <c r="A166" s="183"/>
      <c r="B166" s="181"/>
      <c r="C166" s="181"/>
      <c r="D166" s="181"/>
      <c r="E166" s="181"/>
      <c r="F166" s="181"/>
      <c r="G166" s="181"/>
      <c r="H166" s="181"/>
      <c r="I166" s="181"/>
      <c r="J166" s="182"/>
      <c r="L166" s="78"/>
    </row>
    <row r="167" spans="1:12" ht="15" customHeight="1">
      <c r="A167" s="183"/>
      <c r="B167" s="181"/>
      <c r="C167" s="181"/>
      <c r="D167" s="181"/>
      <c r="E167" s="181"/>
      <c r="F167" s="181"/>
      <c r="G167" s="181"/>
      <c r="H167" s="181"/>
      <c r="I167" s="181"/>
      <c r="J167" s="182"/>
      <c r="L167" s="78"/>
    </row>
    <row r="168" spans="1:12" ht="15" customHeight="1">
      <c r="A168" s="183"/>
      <c r="B168" s="181"/>
      <c r="C168" s="181"/>
      <c r="D168" s="181"/>
      <c r="E168" s="181"/>
      <c r="F168" s="181"/>
      <c r="G168" s="181"/>
      <c r="H168" s="181"/>
      <c r="I168" s="181"/>
      <c r="J168" s="182"/>
      <c r="L168" s="78"/>
    </row>
    <row r="169" spans="1:12" ht="15" customHeight="1">
      <c r="A169" s="183"/>
      <c r="B169" s="181"/>
      <c r="C169" s="181"/>
      <c r="D169" s="181"/>
      <c r="E169" s="181"/>
      <c r="F169" s="181"/>
      <c r="G169" s="181"/>
      <c r="H169" s="181"/>
      <c r="I169" s="181"/>
      <c r="J169" s="182"/>
      <c r="L169" s="78"/>
    </row>
    <row r="170" spans="1:12" ht="15" customHeight="1">
      <c r="A170" s="183"/>
      <c r="B170" s="181"/>
      <c r="C170" s="181"/>
      <c r="D170" s="181"/>
      <c r="E170" s="181"/>
      <c r="F170" s="181"/>
      <c r="G170" s="181"/>
      <c r="H170" s="181"/>
      <c r="I170" s="181"/>
      <c r="J170" s="182"/>
      <c r="K170" s="20"/>
      <c r="L170" s="20"/>
    </row>
    <row r="171" spans="1:12" ht="15" customHeight="1">
      <c r="A171" s="183"/>
      <c r="B171" s="181"/>
      <c r="C171" s="181"/>
      <c r="D171" s="181"/>
      <c r="E171" s="181"/>
      <c r="F171" s="181"/>
      <c r="G171" s="181"/>
      <c r="H171" s="181"/>
      <c r="I171" s="181"/>
      <c r="J171" s="182"/>
    </row>
    <row r="172" spans="1:12" ht="15" customHeight="1">
      <c r="A172" s="183"/>
      <c r="B172" s="181"/>
      <c r="C172" s="181"/>
      <c r="D172" s="181"/>
      <c r="E172" s="181"/>
      <c r="F172" s="181"/>
      <c r="G172" s="181"/>
      <c r="H172" s="181"/>
      <c r="I172" s="181"/>
      <c r="J172" s="182"/>
    </row>
    <row r="173" spans="1:12" ht="15" customHeight="1">
      <c r="A173" s="183"/>
      <c r="B173" s="181"/>
      <c r="C173" s="181"/>
      <c r="D173" s="181"/>
      <c r="E173" s="181"/>
      <c r="F173" s="181"/>
      <c r="G173" s="181"/>
      <c r="H173" s="181"/>
      <c r="I173" s="181"/>
      <c r="J173" s="182"/>
    </row>
    <row r="174" spans="1:12" ht="15" customHeight="1">
      <c r="A174" s="201"/>
      <c r="B174" s="188"/>
      <c r="C174" s="188"/>
      <c r="D174" s="188"/>
      <c r="E174" s="188"/>
      <c r="F174" s="188"/>
      <c r="G174" s="188"/>
      <c r="H174" s="188"/>
      <c r="I174" s="188"/>
      <c r="J174" s="189"/>
    </row>
    <row r="175" spans="1:12" ht="15" customHeight="1">
      <c r="A175" s="51"/>
      <c r="B175" s="51"/>
      <c r="C175" s="51"/>
      <c r="D175" s="51"/>
      <c r="E175" s="51"/>
      <c r="F175" s="51"/>
      <c r="G175" s="51"/>
      <c r="H175" s="51"/>
      <c r="I175" s="51"/>
      <c r="J175" s="51"/>
    </row>
    <row r="176" spans="1:12" ht="15" customHeight="1">
      <c r="A176" s="51"/>
      <c r="B176" s="51"/>
      <c r="C176" s="51"/>
      <c r="D176" s="51"/>
      <c r="E176" s="51"/>
      <c r="F176" s="51"/>
      <c r="G176" s="51"/>
      <c r="H176" s="51"/>
      <c r="I176" s="51"/>
      <c r="J176" s="51"/>
    </row>
    <row r="177" spans="1:26" ht="12.75" customHeight="1">
      <c r="A177" s="240" t="s">
        <v>69</v>
      </c>
      <c r="B177" s="197"/>
      <c r="C177" s="197"/>
      <c r="D177" s="197"/>
      <c r="E177" s="197"/>
      <c r="F177" s="197"/>
      <c r="G177" s="197"/>
      <c r="H177" s="241" t="str">
        <f>'CONTACT INFORMATION'!$A$24</f>
        <v>San Francisco</v>
      </c>
      <c r="I177" s="197"/>
      <c r="J177" s="198"/>
      <c r="K177" s="52"/>
      <c r="L177" s="52"/>
      <c r="M177" s="52"/>
      <c r="N177" s="52"/>
      <c r="O177" s="52"/>
      <c r="P177" s="52"/>
      <c r="Q177" s="52"/>
      <c r="R177" s="52"/>
      <c r="S177" s="52"/>
      <c r="T177" s="52"/>
    </row>
    <row r="178" spans="1:26" ht="7.5" customHeight="1">
      <c r="A178" s="142"/>
      <c r="B178" s="142"/>
      <c r="C178" s="142"/>
      <c r="D178" s="142"/>
      <c r="E178" s="142"/>
      <c r="F178" s="142"/>
      <c r="G178" s="142"/>
      <c r="H178" s="142"/>
      <c r="I178" s="142"/>
      <c r="J178" s="142"/>
    </row>
    <row r="179" spans="1:26" ht="12.75" customHeight="1">
      <c r="A179" s="271" t="s">
        <v>163</v>
      </c>
      <c r="B179" s="197"/>
      <c r="C179" s="197"/>
      <c r="D179" s="197"/>
      <c r="E179" s="197"/>
      <c r="F179" s="197"/>
      <c r="G179" s="197"/>
      <c r="H179" s="197"/>
      <c r="I179" s="197"/>
      <c r="J179" s="198"/>
    </row>
    <row r="180" spans="1:26" ht="12.75" customHeight="1">
      <c r="A180" s="273" t="s">
        <v>144</v>
      </c>
      <c r="B180" s="177"/>
      <c r="C180" s="177"/>
      <c r="D180" s="178"/>
      <c r="E180" s="276" t="s">
        <v>929</v>
      </c>
      <c r="F180" s="177"/>
      <c r="G180" s="177"/>
      <c r="H180" s="177"/>
      <c r="I180" s="177"/>
      <c r="J180" s="178"/>
    </row>
    <row r="181" spans="1:26" ht="12.75" customHeight="1">
      <c r="A181" s="274" t="s">
        <v>145</v>
      </c>
      <c r="B181" s="188"/>
      <c r="C181" s="188"/>
      <c r="D181" s="189"/>
      <c r="E181" s="201"/>
      <c r="F181" s="188"/>
      <c r="G181" s="188"/>
      <c r="H181" s="188"/>
      <c r="I181" s="188"/>
      <c r="J181" s="189"/>
    </row>
    <row r="182" spans="1:26" ht="12.75" customHeight="1">
      <c r="A182" s="275" t="s">
        <v>146</v>
      </c>
      <c r="B182" s="197"/>
      <c r="C182" s="197"/>
      <c r="D182" s="198"/>
      <c r="E182" s="230" t="s">
        <v>121</v>
      </c>
      <c r="F182" s="197"/>
      <c r="G182" s="197"/>
      <c r="H182" s="197"/>
      <c r="I182" s="197"/>
      <c r="J182" s="198"/>
    </row>
    <row r="183" spans="1:26" ht="27" customHeight="1">
      <c r="A183" s="143"/>
      <c r="B183" s="141"/>
      <c r="C183" s="141"/>
      <c r="D183" s="141"/>
      <c r="E183" s="269" t="s">
        <v>147</v>
      </c>
      <c r="F183" s="188"/>
      <c r="G183" s="269" t="s">
        <v>148</v>
      </c>
      <c r="H183" s="188"/>
      <c r="I183" s="270" t="s">
        <v>149</v>
      </c>
      <c r="J183" s="189"/>
      <c r="U183" s="52"/>
      <c r="V183" s="52"/>
      <c r="W183" s="52"/>
      <c r="X183" s="52"/>
      <c r="Y183" s="52"/>
      <c r="Z183" s="52"/>
    </row>
    <row r="184" spans="1:26" ht="12.75" customHeight="1">
      <c r="A184" s="227" t="s">
        <v>150</v>
      </c>
      <c r="B184" s="197"/>
      <c r="C184" s="197"/>
      <c r="D184" s="198"/>
      <c r="E184" s="262"/>
      <c r="F184" s="198"/>
      <c r="G184" s="262">
        <v>282370.83500000002</v>
      </c>
      <c r="H184" s="198"/>
      <c r="I184" s="263"/>
      <c r="J184" s="198"/>
    </row>
    <row r="185" spans="1:26" ht="12.75" customHeight="1">
      <c r="A185" s="265" t="s">
        <v>151</v>
      </c>
      <c r="B185" s="197"/>
      <c r="C185" s="197"/>
      <c r="D185" s="198"/>
      <c r="E185" s="260"/>
      <c r="F185" s="198"/>
      <c r="G185" s="261"/>
      <c r="H185" s="198"/>
      <c r="I185" s="264"/>
      <c r="J185" s="198"/>
    </row>
    <row r="186" spans="1:26" ht="12.75" customHeight="1">
      <c r="A186" s="227" t="s">
        <v>152</v>
      </c>
      <c r="B186" s="197"/>
      <c r="C186" s="197"/>
      <c r="D186" s="198"/>
      <c r="E186" s="262"/>
      <c r="F186" s="198"/>
      <c r="G186" s="262">
        <v>1368.03</v>
      </c>
      <c r="H186" s="198"/>
      <c r="I186" s="263"/>
      <c r="J186" s="198"/>
    </row>
    <row r="187" spans="1:26" ht="12.75" customHeight="1">
      <c r="A187" s="265" t="s">
        <v>153</v>
      </c>
      <c r="B187" s="197"/>
      <c r="C187" s="197"/>
      <c r="D187" s="198"/>
      <c r="E187" s="260"/>
      <c r="F187" s="198"/>
      <c r="G187" s="261">
        <v>579793.14</v>
      </c>
      <c r="H187" s="198"/>
      <c r="I187" s="264"/>
      <c r="J187" s="198"/>
    </row>
    <row r="188" spans="1:26" ht="12.75" customHeight="1">
      <c r="A188" s="227" t="s">
        <v>154</v>
      </c>
      <c r="B188" s="197"/>
      <c r="C188" s="197"/>
      <c r="D188" s="198"/>
      <c r="E188" s="262"/>
      <c r="F188" s="198"/>
      <c r="G188" s="262"/>
      <c r="H188" s="198"/>
      <c r="I188" s="263"/>
      <c r="J188" s="198"/>
    </row>
    <row r="189" spans="1:26" ht="12.75" customHeight="1">
      <c r="A189" s="265" t="s">
        <v>155</v>
      </c>
      <c r="B189" s="197"/>
      <c r="C189" s="197"/>
      <c r="D189" s="198"/>
      <c r="E189" s="260"/>
      <c r="F189" s="198"/>
      <c r="G189" s="261"/>
      <c r="H189" s="198"/>
      <c r="I189" s="264"/>
      <c r="J189" s="198"/>
    </row>
    <row r="190" spans="1:26" ht="12.75" customHeight="1">
      <c r="A190" s="227" t="s">
        <v>156</v>
      </c>
      <c r="B190" s="197"/>
      <c r="C190" s="197"/>
      <c r="D190" s="198"/>
      <c r="E190" s="266"/>
      <c r="F190" s="198"/>
      <c r="G190" s="266"/>
      <c r="H190" s="198"/>
      <c r="I190" s="267"/>
      <c r="J190" s="198"/>
    </row>
    <row r="191" spans="1:26" ht="12.75" customHeight="1">
      <c r="A191" s="259"/>
      <c r="B191" s="197"/>
      <c r="C191" s="197"/>
      <c r="D191" s="198"/>
      <c r="E191" s="260"/>
      <c r="F191" s="198"/>
      <c r="G191" s="261"/>
      <c r="H191" s="198"/>
      <c r="I191" s="261"/>
      <c r="J191" s="198"/>
    </row>
    <row r="192" spans="1:26" ht="12.75" customHeight="1">
      <c r="A192" s="259"/>
      <c r="B192" s="197"/>
      <c r="C192" s="197"/>
      <c r="D192" s="198"/>
      <c r="E192" s="260"/>
      <c r="F192" s="198"/>
      <c r="G192" s="261"/>
      <c r="H192" s="198"/>
      <c r="I192" s="261"/>
      <c r="J192" s="198"/>
    </row>
    <row r="193" spans="1:10" ht="12.75" customHeight="1">
      <c r="A193" s="259"/>
      <c r="B193" s="197"/>
      <c r="C193" s="197"/>
      <c r="D193" s="198"/>
      <c r="E193" s="260"/>
      <c r="F193" s="198"/>
      <c r="G193" s="261"/>
      <c r="H193" s="198"/>
      <c r="I193" s="261"/>
      <c r="J193" s="198"/>
    </row>
    <row r="194" spans="1:10" ht="12.75" customHeight="1">
      <c r="A194" s="231" t="s">
        <v>157</v>
      </c>
      <c r="B194" s="197"/>
      <c r="C194" s="197"/>
      <c r="D194" s="198"/>
      <c r="E194" s="256">
        <f>SUM(E184:E193)</f>
        <v>0</v>
      </c>
      <c r="F194" s="198"/>
      <c r="G194" s="256">
        <f>SUM(G184:G193)</f>
        <v>863532.00500000012</v>
      </c>
      <c r="H194" s="198"/>
      <c r="I194" s="256">
        <f>SUM(I184:I193)</f>
        <v>0</v>
      </c>
      <c r="J194" s="198"/>
    </row>
    <row r="195" spans="1:10" ht="14.25" customHeight="1">
      <c r="A195" s="257" t="s">
        <v>158</v>
      </c>
      <c r="B195" s="177"/>
      <c r="C195" s="177"/>
      <c r="D195" s="177"/>
      <c r="E195" s="177"/>
      <c r="F195" s="177"/>
      <c r="G195" s="177"/>
      <c r="H195" s="177"/>
      <c r="I195" s="177"/>
      <c r="J195" s="178"/>
    </row>
    <row r="196" spans="1:10" ht="14.25" customHeight="1">
      <c r="A196" s="258" t="s">
        <v>159</v>
      </c>
      <c r="B196" s="192"/>
      <c r="C196" s="192"/>
      <c r="D196" s="192"/>
      <c r="E196" s="192"/>
      <c r="F196" s="192"/>
      <c r="G196" s="192"/>
      <c r="H196" s="192"/>
      <c r="I196" s="192"/>
      <c r="J196" s="182"/>
    </row>
    <row r="197" spans="1:10" ht="14.25" customHeight="1">
      <c r="A197" s="258" t="s">
        <v>160</v>
      </c>
      <c r="B197" s="192"/>
      <c r="C197" s="192"/>
      <c r="D197" s="192"/>
      <c r="E197" s="192"/>
      <c r="F197" s="192"/>
      <c r="G197" s="192"/>
      <c r="H197" s="192"/>
      <c r="I197" s="192"/>
      <c r="J197" s="182"/>
    </row>
    <row r="198" spans="1:10" ht="14.25" customHeight="1">
      <c r="A198" s="268" t="s">
        <v>161</v>
      </c>
      <c r="B198" s="188"/>
      <c r="C198" s="188"/>
      <c r="D198" s="188"/>
      <c r="E198" s="188"/>
      <c r="F198" s="188"/>
      <c r="G198" s="188"/>
      <c r="H198" s="188"/>
      <c r="I198" s="188"/>
      <c r="J198" s="189"/>
    </row>
    <row r="199" spans="1:10" ht="15.75" customHeight="1">
      <c r="A199" s="207" t="s">
        <v>164</v>
      </c>
      <c r="B199" s="177"/>
      <c r="C199" s="177"/>
      <c r="D199" s="177"/>
      <c r="E199" s="177"/>
      <c r="F199" s="177"/>
      <c r="G199" s="177"/>
      <c r="H199" s="177"/>
      <c r="I199" s="177"/>
      <c r="J199" s="178"/>
    </row>
    <row r="200" spans="1:10" ht="15" customHeight="1">
      <c r="A200" s="183"/>
      <c r="B200" s="181"/>
      <c r="C200" s="181"/>
      <c r="D200" s="181"/>
      <c r="E200" s="181"/>
      <c r="F200" s="181"/>
      <c r="G200" s="181"/>
      <c r="H200" s="181"/>
      <c r="I200" s="181"/>
      <c r="J200" s="182"/>
    </row>
    <row r="201" spans="1:10" ht="15" customHeight="1">
      <c r="A201" s="183"/>
      <c r="B201" s="181"/>
      <c r="C201" s="181"/>
      <c r="D201" s="181"/>
      <c r="E201" s="181"/>
      <c r="F201" s="181"/>
      <c r="G201" s="181"/>
      <c r="H201" s="181"/>
      <c r="I201" s="181"/>
      <c r="J201" s="182"/>
    </row>
    <row r="202" spans="1:10" ht="15" customHeight="1">
      <c r="A202" s="183"/>
      <c r="B202" s="181"/>
      <c r="C202" s="181"/>
      <c r="D202" s="181"/>
      <c r="E202" s="181"/>
      <c r="F202" s="181"/>
      <c r="G202" s="181"/>
      <c r="H202" s="181"/>
      <c r="I202" s="181"/>
      <c r="J202" s="182"/>
    </row>
    <row r="203" spans="1:10" ht="15" customHeight="1">
      <c r="A203" s="183"/>
      <c r="B203" s="181"/>
      <c r="C203" s="181"/>
      <c r="D203" s="181"/>
      <c r="E203" s="181"/>
      <c r="F203" s="181"/>
      <c r="G203" s="181"/>
      <c r="H203" s="181"/>
      <c r="I203" s="181"/>
      <c r="J203" s="182"/>
    </row>
    <row r="204" spans="1:10" ht="15" customHeight="1">
      <c r="A204" s="183"/>
      <c r="B204" s="181"/>
      <c r="C204" s="181"/>
      <c r="D204" s="181"/>
      <c r="E204" s="181"/>
      <c r="F204" s="181"/>
      <c r="G204" s="181"/>
      <c r="H204" s="181"/>
      <c r="I204" s="181"/>
      <c r="J204" s="182"/>
    </row>
    <row r="205" spans="1:10" ht="15" customHeight="1">
      <c r="A205" s="183"/>
      <c r="B205" s="181"/>
      <c r="C205" s="181"/>
      <c r="D205" s="181"/>
      <c r="E205" s="181"/>
      <c r="F205" s="181"/>
      <c r="G205" s="181"/>
      <c r="H205" s="181"/>
      <c r="I205" s="181"/>
      <c r="J205" s="182"/>
    </row>
    <row r="206" spans="1:10" ht="15" customHeight="1">
      <c r="A206" s="183"/>
      <c r="B206" s="181"/>
      <c r="C206" s="181"/>
      <c r="D206" s="181"/>
      <c r="E206" s="181"/>
      <c r="F206" s="181"/>
      <c r="G206" s="181"/>
      <c r="H206" s="181"/>
      <c r="I206" s="181"/>
      <c r="J206" s="182"/>
    </row>
    <row r="207" spans="1:10" ht="15" customHeight="1">
      <c r="A207" s="183"/>
      <c r="B207" s="181"/>
      <c r="C207" s="181"/>
      <c r="D207" s="181"/>
      <c r="E207" s="181"/>
      <c r="F207" s="181"/>
      <c r="G207" s="181"/>
      <c r="H207" s="181"/>
      <c r="I207" s="181"/>
      <c r="J207" s="182"/>
    </row>
    <row r="208" spans="1:10" ht="15" customHeight="1">
      <c r="A208" s="183"/>
      <c r="B208" s="181"/>
      <c r="C208" s="181"/>
      <c r="D208" s="181"/>
      <c r="E208" s="181"/>
      <c r="F208" s="181"/>
      <c r="G208" s="181"/>
      <c r="H208" s="181"/>
      <c r="I208" s="181"/>
      <c r="J208" s="182"/>
    </row>
    <row r="209" spans="1:12" ht="15" customHeight="1">
      <c r="A209" s="183"/>
      <c r="B209" s="181"/>
      <c r="C209" s="181"/>
      <c r="D209" s="181"/>
      <c r="E209" s="181"/>
      <c r="F209" s="181"/>
      <c r="G209" s="181"/>
      <c r="H209" s="181"/>
      <c r="I209" s="181"/>
      <c r="J209" s="182"/>
    </row>
    <row r="210" spans="1:12" ht="15" customHeight="1">
      <c r="A210" s="183"/>
      <c r="B210" s="181"/>
      <c r="C210" s="181"/>
      <c r="D210" s="181"/>
      <c r="E210" s="181"/>
      <c r="F210" s="181"/>
      <c r="G210" s="181"/>
      <c r="H210" s="181"/>
      <c r="I210" s="181"/>
      <c r="J210" s="182"/>
    </row>
    <row r="211" spans="1:12" ht="15" customHeight="1">
      <c r="A211" s="183"/>
      <c r="B211" s="181"/>
      <c r="C211" s="181"/>
      <c r="D211" s="181"/>
      <c r="E211" s="181"/>
      <c r="F211" s="181"/>
      <c r="G211" s="181"/>
      <c r="H211" s="181"/>
      <c r="I211" s="181"/>
      <c r="J211" s="182"/>
    </row>
    <row r="212" spans="1:12" ht="15" customHeight="1">
      <c r="A212" s="183"/>
      <c r="B212" s="181"/>
      <c r="C212" s="181"/>
      <c r="D212" s="181"/>
      <c r="E212" s="181"/>
      <c r="F212" s="181"/>
      <c r="G212" s="181"/>
      <c r="H212" s="181"/>
      <c r="I212" s="181"/>
      <c r="J212" s="182"/>
    </row>
    <row r="213" spans="1:12" ht="15" customHeight="1">
      <c r="A213" s="183"/>
      <c r="B213" s="181"/>
      <c r="C213" s="181"/>
      <c r="D213" s="181"/>
      <c r="E213" s="181"/>
      <c r="F213" s="181"/>
      <c r="G213" s="181"/>
      <c r="H213" s="181"/>
      <c r="I213" s="181"/>
      <c r="J213" s="182"/>
    </row>
    <row r="214" spans="1:12" ht="15" customHeight="1">
      <c r="A214" s="183"/>
      <c r="B214" s="181"/>
      <c r="C214" s="181"/>
      <c r="D214" s="181"/>
      <c r="E214" s="181"/>
      <c r="F214" s="181"/>
      <c r="G214" s="181"/>
      <c r="H214" s="181"/>
      <c r="I214" s="181"/>
      <c r="J214" s="182"/>
    </row>
    <row r="215" spans="1:12" ht="15" customHeight="1">
      <c r="A215" s="183"/>
      <c r="B215" s="181"/>
      <c r="C215" s="181"/>
      <c r="D215" s="181"/>
      <c r="E215" s="181"/>
      <c r="F215" s="181"/>
      <c r="G215" s="181"/>
      <c r="H215" s="181"/>
      <c r="I215" s="181"/>
      <c r="J215" s="182"/>
    </row>
    <row r="216" spans="1:12" ht="15" customHeight="1">
      <c r="A216" s="183"/>
      <c r="B216" s="181"/>
      <c r="C216" s="181"/>
      <c r="D216" s="181"/>
      <c r="E216" s="181"/>
      <c r="F216" s="181"/>
      <c r="G216" s="181"/>
      <c r="H216" s="181"/>
      <c r="I216" s="181"/>
      <c r="J216" s="182"/>
    </row>
    <row r="217" spans="1:12" ht="15" customHeight="1">
      <c r="A217" s="183"/>
      <c r="B217" s="181"/>
      <c r="C217" s="181"/>
      <c r="D217" s="181"/>
      <c r="E217" s="181"/>
      <c r="F217" s="181"/>
      <c r="G217" s="181"/>
      <c r="H217" s="181"/>
      <c r="I217" s="181"/>
      <c r="J217" s="182"/>
    </row>
    <row r="218" spans="1:12" ht="15" customHeight="1">
      <c r="A218" s="183"/>
      <c r="B218" s="181"/>
      <c r="C218" s="181"/>
      <c r="D218" s="181"/>
      <c r="E218" s="181"/>
      <c r="F218" s="181"/>
      <c r="G218" s="181"/>
      <c r="H218" s="181"/>
      <c r="I218" s="181"/>
      <c r="J218" s="182"/>
    </row>
    <row r="219" spans="1:12" ht="15" customHeight="1">
      <c r="A219" s="183"/>
      <c r="B219" s="181"/>
      <c r="C219" s="181"/>
      <c r="D219" s="181"/>
      <c r="E219" s="181"/>
      <c r="F219" s="181"/>
      <c r="G219" s="181"/>
      <c r="H219" s="181"/>
      <c r="I219" s="181"/>
      <c r="J219" s="182"/>
    </row>
    <row r="220" spans="1:12" ht="15" customHeight="1">
      <c r="A220" s="183"/>
      <c r="B220" s="181"/>
      <c r="C220" s="181"/>
      <c r="D220" s="181"/>
      <c r="E220" s="181"/>
      <c r="F220" s="181"/>
      <c r="G220" s="181"/>
      <c r="H220" s="181"/>
      <c r="I220" s="181"/>
      <c r="J220" s="182"/>
    </row>
    <row r="221" spans="1:12" ht="15" customHeight="1">
      <c r="A221" s="183"/>
      <c r="B221" s="181"/>
      <c r="C221" s="181"/>
      <c r="D221" s="181"/>
      <c r="E221" s="181"/>
      <c r="F221" s="181"/>
      <c r="G221" s="181"/>
      <c r="H221" s="181"/>
      <c r="I221" s="181"/>
      <c r="J221" s="182"/>
      <c r="K221" s="20"/>
      <c r="L221" s="20"/>
    </row>
    <row r="222" spans="1:12" ht="15" customHeight="1">
      <c r="A222" s="183"/>
      <c r="B222" s="181"/>
      <c r="C222" s="181"/>
      <c r="D222" s="181"/>
      <c r="E222" s="181"/>
      <c r="F222" s="181"/>
      <c r="G222" s="181"/>
      <c r="H222" s="181"/>
      <c r="I222" s="181"/>
      <c r="J222" s="182"/>
    </row>
    <row r="223" spans="1:12" ht="15" customHeight="1">
      <c r="A223" s="183"/>
      <c r="B223" s="181"/>
      <c r="C223" s="181"/>
      <c r="D223" s="181"/>
      <c r="E223" s="181"/>
      <c r="F223" s="181"/>
      <c r="G223" s="181"/>
      <c r="H223" s="181"/>
      <c r="I223" s="181"/>
      <c r="J223" s="182"/>
    </row>
    <row r="224" spans="1:12" ht="15" customHeight="1">
      <c r="A224" s="183"/>
      <c r="B224" s="181"/>
      <c r="C224" s="181"/>
      <c r="D224" s="181"/>
      <c r="E224" s="181"/>
      <c r="F224" s="181"/>
      <c r="G224" s="181"/>
      <c r="H224" s="181"/>
      <c r="I224" s="181"/>
      <c r="J224" s="182"/>
    </row>
    <row r="225" spans="1:10" ht="15" customHeight="1">
      <c r="A225" s="183"/>
      <c r="B225" s="181"/>
      <c r="C225" s="181"/>
      <c r="D225" s="181"/>
      <c r="E225" s="181"/>
      <c r="F225" s="181"/>
      <c r="G225" s="181"/>
      <c r="H225" s="181"/>
      <c r="I225" s="181"/>
      <c r="J225" s="182"/>
    </row>
    <row r="226" spans="1:10" ht="15" customHeight="1">
      <c r="A226" s="201"/>
      <c r="B226" s="188"/>
      <c r="C226" s="188"/>
      <c r="D226" s="188"/>
      <c r="E226" s="188"/>
      <c r="F226" s="188"/>
      <c r="G226" s="188"/>
      <c r="H226" s="188"/>
      <c r="I226" s="188"/>
      <c r="J226" s="189"/>
    </row>
    <row r="227" spans="1:10" ht="15" customHeight="1">
      <c r="A227" s="77"/>
      <c r="B227" s="77"/>
      <c r="C227" s="77"/>
      <c r="D227" s="77"/>
      <c r="E227" s="77"/>
      <c r="F227" s="77"/>
      <c r="G227" s="77"/>
      <c r="H227" s="77"/>
      <c r="I227" s="77"/>
      <c r="J227" s="77"/>
    </row>
    <row r="228" spans="1:10" ht="15" customHeight="1">
      <c r="A228" s="77"/>
      <c r="B228" s="77"/>
      <c r="C228" s="77"/>
      <c r="D228" s="77"/>
      <c r="E228" s="77"/>
      <c r="F228" s="77"/>
      <c r="G228" s="77"/>
      <c r="H228" s="77"/>
      <c r="I228" s="77"/>
      <c r="J228" s="77"/>
    </row>
    <row r="229" spans="1:10" ht="15" customHeight="1">
      <c r="A229" s="53"/>
      <c r="B229" s="53"/>
      <c r="C229" s="53"/>
      <c r="D229" s="53"/>
      <c r="E229" s="53"/>
      <c r="F229" s="53"/>
      <c r="G229" s="53"/>
      <c r="H229" s="53"/>
      <c r="I229" s="53"/>
      <c r="J229" s="53"/>
    </row>
    <row r="230" spans="1:10" ht="12.75" customHeight="1">
      <c r="A230" s="240" t="s">
        <v>69</v>
      </c>
      <c r="B230" s="197"/>
      <c r="C230" s="197"/>
      <c r="D230" s="197"/>
      <c r="E230" s="197"/>
      <c r="F230" s="197"/>
      <c r="G230" s="197"/>
      <c r="H230" s="241" t="str">
        <f>'CONTACT INFORMATION'!$A$24</f>
        <v>San Francisco</v>
      </c>
      <c r="I230" s="197"/>
      <c r="J230" s="198"/>
    </row>
    <row r="231" spans="1:10" ht="7.5" customHeight="1">
      <c r="A231" s="142"/>
      <c r="B231" s="142"/>
      <c r="C231" s="142"/>
      <c r="D231" s="142"/>
      <c r="E231" s="142"/>
      <c r="F231" s="142"/>
      <c r="G231" s="142"/>
      <c r="H231" s="142"/>
      <c r="I231" s="142"/>
      <c r="J231" s="142"/>
    </row>
    <row r="232" spans="1:10" ht="12.75" customHeight="1">
      <c r="A232" s="271" t="s">
        <v>165</v>
      </c>
      <c r="B232" s="197"/>
      <c r="C232" s="197"/>
      <c r="D232" s="197"/>
      <c r="E232" s="197"/>
      <c r="F232" s="197"/>
      <c r="G232" s="197"/>
      <c r="H232" s="197"/>
      <c r="I232" s="197"/>
      <c r="J232" s="198"/>
    </row>
    <row r="233" spans="1:10" ht="12.75" customHeight="1">
      <c r="A233" s="273" t="s">
        <v>144</v>
      </c>
      <c r="B233" s="177"/>
      <c r="C233" s="177"/>
      <c r="D233" s="178"/>
      <c r="E233" s="276" t="s">
        <v>166</v>
      </c>
      <c r="F233" s="177"/>
      <c r="G233" s="177"/>
      <c r="H233" s="177"/>
      <c r="I233" s="177"/>
      <c r="J233" s="178"/>
    </row>
    <row r="234" spans="1:10" ht="12.75" customHeight="1">
      <c r="A234" s="274" t="s">
        <v>145</v>
      </c>
      <c r="B234" s="188"/>
      <c r="C234" s="188"/>
      <c r="D234" s="189"/>
      <c r="E234" s="201"/>
      <c r="F234" s="188"/>
      <c r="G234" s="188"/>
      <c r="H234" s="188"/>
      <c r="I234" s="188"/>
      <c r="J234" s="189"/>
    </row>
    <row r="235" spans="1:10" ht="12.75" customHeight="1">
      <c r="A235" s="275" t="s">
        <v>146</v>
      </c>
      <c r="B235" s="197"/>
      <c r="C235" s="197"/>
      <c r="D235" s="198"/>
      <c r="E235" s="230" t="s">
        <v>167</v>
      </c>
      <c r="F235" s="197"/>
      <c r="G235" s="197"/>
      <c r="H235" s="197"/>
      <c r="I235" s="197"/>
      <c r="J235" s="198"/>
    </row>
    <row r="236" spans="1:10" ht="27" customHeight="1">
      <c r="A236" s="143"/>
      <c r="B236" s="141"/>
      <c r="C236" s="141"/>
      <c r="D236" s="141"/>
      <c r="E236" s="269" t="s">
        <v>147</v>
      </c>
      <c r="F236" s="188"/>
      <c r="G236" s="269" t="s">
        <v>148</v>
      </c>
      <c r="H236" s="188"/>
      <c r="I236" s="270" t="s">
        <v>149</v>
      </c>
      <c r="J236" s="189"/>
    </row>
    <row r="237" spans="1:10" ht="12.75" customHeight="1">
      <c r="A237" s="227" t="s">
        <v>150</v>
      </c>
      <c r="B237" s="197"/>
      <c r="C237" s="197"/>
      <c r="D237" s="198"/>
      <c r="E237" s="262"/>
      <c r="F237" s="198"/>
      <c r="G237" s="262">
        <v>3540586.6850000001</v>
      </c>
      <c r="H237" s="198"/>
      <c r="I237" s="263"/>
      <c r="J237" s="198"/>
    </row>
    <row r="238" spans="1:10" ht="12.75" customHeight="1">
      <c r="A238" s="265" t="s">
        <v>151</v>
      </c>
      <c r="B238" s="197"/>
      <c r="C238" s="197"/>
      <c r="D238" s="198"/>
      <c r="E238" s="260"/>
      <c r="F238" s="198"/>
      <c r="G238" s="261">
        <v>7036.06</v>
      </c>
      <c r="H238" s="198"/>
      <c r="I238" s="264"/>
      <c r="J238" s="198"/>
    </row>
    <row r="239" spans="1:10" ht="12.75" customHeight="1">
      <c r="A239" s="227" t="s">
        <v>152</v>
      </c>
      <c r="B239" s="197"/>
      <c r="C239" s="197"/>
      <c r="D239" s="198"/>
      <c r="E239" s="262"/>
      <c r="F239" s="198"/>
      <c r="G239" s="262"/>
      <c r="H239" s="198"/>
      <c r="I239" s="263"/>
      <c r="J239" s="198"/>
    </row>
    <row r="240" spans="1:10" ht="12.75" customHeight="1">
      <c r="A240" s="265" t="s">
        <v>153</v>
      </c>
      <c r="B240" s="197"/>
      <c r="C240" s="197"/>
      <c r="D240" s="198"/>
      <c r="E240" s="260"/>
      <c r="F240" s="198"/>
      <c r="G240" s="261">
        <v>142572.23000000001</v>
      </c>
      <c r="H240" s="198"/>
      <c r="I240" s="264"/>
      <c r="J240" s="198"/>
    </row>
    <row r="241" spans="1:10" ht="12.75" customHeight="1">
      <c r="A241" s="227" t="s">
        <v>154</v>
      </c>
      <c r="B241" s="197"/>
      <c r="C241" s="197"/>
      <c r="D241" s="198"/>
      <c r="E241" s="262"/>
      <c r="F241" s="198"/>
      <c r="G241" s="262">
        <v>49049.15</v>
      </c>
      <c r="H241" s="198"/>
      <c r="I241" s="263"/>
      <c r="J241" s="198"/>
    </row>
    <row r="242" spans="1:10" ht="12.75" customHeight="1">
      <c r="A242" s="265" t="s">
        <v>155</v>
      </c>
      <c r="B242" s="197"/>
      <c r="C242" s="197"/>
      <c r="D242" s="198"/>
      <c r="E242" s="260"/>
      <c r="F242" s="198"/>
      <c r="G242" s="261"/>
      <c r="H242" s="198"/>
      <c r="I242" s="264"/>
      <c r="J242" s="198"/>
    </row>
    <row r="243" spans="1:10" ht="12.75" customHeight="1">
      <c r="A243" s="227" t="s">
        <v>156</v>
      </c>
      <c r="B243" s="197"/>
      <c r="C243" s="197"/>
      <c r="D243" s="198"/>
      <c r="E243" s="266"/>
      <c r="F243" s="198"/>
      <c r="G243" s="266"/>
      <c r="H243" s="198"/>
      <c r="I243" s="267"/>
      <c r="J243" s="198"/>
    </row>
    <row r="244" spans="1:10" ht="12.75" customHeight="1">
      <c r="A244" s="259"/>
      <c r="B244" s="197"/>
      <c r="C244" s="197"/>
      <c r="D244" s="198"/>
      <c r="E244" s="260"/>
      <c r="F244" s="198"/>
      <c r="G244" s="261"/>
      <c r="H244" s="198"/>
      <c r="I244" s="261"/>
      <c r="J244" s="198"/>
    </row>
    <row r="245" spans="1:10" ht="12.75" customHeight="1">
      <c r="A245" s="259"/>
      <c r="B245" s="197"/>
      <c r="C245" s="197"/>
      <c r="D245" s="198"/>
      <c r="E245" s="260"/>
      <c r="F245" s="198"/>
      <c r="G245" s="261"/>
      <c r="H245" s="198"/>
      <c r="I245" s="261"/>
      <c r="J245" s="198"/>
    </row>
    <row r="246" spans="1:10" ht="12.75" customHeight="1">
      <c r="A246" s="259"/>
      <c r="B246" s="197"/>
      <c r="C246" s="197"/>
      <c r="D246" s="198"/>
      <c r="E246" s="260"/>
      <c r="F246" s="198"/>
      <c r="G246" s="261"/>
      <c r="H246" s="198"/>
      <c r="I246" s="261"/>
      <c r="J246" s="198"/>
    </row>
    <row r="247" spans="1:10" ht="12.75" customHeight="1">
      <c r="A247" s="231" t="s">
        <v>157</v>
      </c>
      <c r="B247" s="197"/>
      <c r="C247" s="197"/>
      <c r="D247" s="198"/>
      <c r="E247" s="256">
        <f>SUM(E237:E246)</f>
        <v>0</v>
      </c>
      <c r="F247" s="198"/>
      <c r="G247" s="256">
        <f>SUM(G237:G246)</f>
        <v>3739244.125</v>
      </c>
      <c r="H247" s="198"/>
      <c r="I247" s="256">
        <f>SUM(I237:I246)</f>
        <v>0</v>
      </c>
      <c r="J247" s="198"/>
    </row>
    <row r="248" spans="1:10" ht="12.75" customHeight="1">
      <c r="A248" s="257" t="s">
        <v>158</v>
      </c>
      <c r="B248" s="177"/>
      <c r="C248" s="177"/>
      <c r="D248" s="177"/>
      <c r="E248" s="177"/>
      <c r="F248" s="177"/>
      <c r="G248" s="177"/>
      <c r="H248" s="177"/>
      <c r="I248" s="177"/>
      <c r="J248" s="178"/>
    </row>
    <row r="249" spans="1:10" ht="12.75" customHeight="1">
      <c r="A249" s="258" t="s">
        <v>159</v>
      </c>
      <c r="B249" s="192"/>
      <c r="C249" s="192"/>
      <c r="D249" s="192"/>
      <c r="E249" s="192"/>
      <c r="F249" s="192"/>
      <c r="G249" s="192"/>
      <c r="H249" s="192"/>
      <c r="I249" s="192"/>
      <c r="J249" s="182"/>
    </row>
    <row r="250" spans="1:10" ht="12.75" customHeight="1">
      <c r="A250" s="258" t="s">
        <v>160</v>
      </c>
      <c r="B250" s="192"/>
      <c r="C250" s="192"/>
      <c r="D250" s="192"/>
      <c r="E250" s="192"/>
      <c r="F250" s="192"/>
      <c r="G250" s="192"/>
      <c r="H250" s="192"/>
      <c r="I250" s="192"/>
      <c r="J250" s="182"/>
    </row>
    <row r="251" spans="1:10" ht="12.75" customHeight="1">
      <c r="A251" s="268" t="s">
        <v>161</v>
      </c>
      <c r="B251" s="188"/>
      <c r="C251" s="188"/>
      <c r="D251" s="188"/>
      <c r="E251" s="188"/>
      <c r="F251" s="188"/>
      <c r="G251" s="188"/>
      <c r="H251" s="188"/>
      <c r="I251" s="188"/>
      <c r="J251" s="189"/>
    </row>
    <row r="252" spans="1:10" ht="12.75" customHeight="1">
      <c r="A252" s="207" t="s">
        <v>168</v>
      </c>
      <c r="B252" s="177"/>
      <c r="C252" s="177"/>
      <c r="D252" s="177"/>
      <c r="E252" s="177"/>
      <c r="F252" s="177"/>
      <c r="G252" s="177"/>
      <c r="H252" s="177"/>
      <c r="I252" s="177"/>
      <c r="J252" s="178"/>
    </row>
    <row r="253" spans="1:10" ht="12.75" customHeight="1">
      <c r="A253" s="183"/>
      <c r="B253" s="181"/>
      <c r="C253" s="181"/>
      <c r="D253" s="181"/>
      <c r="E253" s="181"/>
      <c r="F253" s="181"/>
      <c r="G253" s="181"/>
      <c r="H253" s="181"/>
      <c r="I253" s="181"/>
      <c r="J253" s="182"/>
    </row>
    <row r="254" spans="1:10" ht="12.75" customHeight="1">
      <c r="A254" s="183"/>
      <c r="B254" s="181"/>
      <c r="C254" s="181"/>
      <c r="D254" s="181"/>
      <c r="E254" s="181"/>
      <c r="F254" s="181"/>
      <c r="G254" s="181"/>
      <c r="H254" s="181"/>
      <c r="I254" s="181"/>
      <c r="J254" s="182"/>
    </row>
    <row r="255" spans="1:10" ht="12.75" customHeight="1">
      <c r="A255" s="183"/>
      <c r="B255" s="181"/>
      <c r="C255" s="181"/>
      <c r="D255" s="181"/>
      <c r="E255" s="181"/>
      <c r="F255" s="181"/>
      <c r="G255" s="181"/>
      <c r="H255" s="181"/>
      <c r="I255" s="181"/>
      <c r="J255" s="182"/>
    </row>
    <row r="256" spans="1:10" ht="12.75" customHeight="1">
      <c r="A256" s="183"/>
      <c r="B256" s="181"/>
      <c r="C256" s="181"/>
      <c r="D256" s="181"/>
      <c r="E256" s="181"/>
      <c r="F256" s="181"/>
      <c r="G256" s="181"/>
      <c r="H256" s="181"/>
      <c r="I256" s="181"/>
      <c r="J256" s="182"/>
    </row>
    <row r="257" spans="1:10" ht="12.75" customHeight="1">
      <c r="A257" s="183"/>
      <c r="B257" s="181"/>
      <c r="C257" s="181"/>
      <c r="D257" s="181"/>
      <c r="E257" s="181"/>
      <c r="F257" s="181"/>
      <c r="G257" s="181"/>
      <c r="H257" s="181"/>
      <c r="I257" s="181"/>
      <c r="J257" s="182"/>
    </row>
    <row r="258" spans="1:10" ht="12.75" customHeight="1">
      <c r="A258" s="183"/>
      <c r="B258" s="181"/>
      <c r="C258" s="181"/>
      <c r="D258" s="181"/>
      <c r="E258" s="181"/>
      <c r="F258" s="181"/>
      <c r="G258" s="181"/>
      <c r="H258" s="181"/>
      <c r="I258" s="181"/>
      <c r="J258" s="182"/>
    </row>
    <row r="259" spans="1:10" ht="12.75" customHeight="1">
      <c r="A259" s="183"/>
      <c r="B259" s="181"/>
      <c r="C259" s="181"/>
      <c r="D259" s="181"/>
      <c r="E259" s="181"/>
      <c r="F259" s="181"/>
      <c r="G259" s="181"/>
      <c r="H259" s="181"/>
      <c r="I259" s="181"/>
      <c r="J259" s="182"/>
    </row>
    <row r="260" spans="1:10" ht="12.75" customHeight="1">
      <c r="A260" s="183"/>
      <c r="B260" s="181"/>
      <c r="C260" s="181"/>
      <c r="D260" s="181"/>
      <c r="E260" s="181"/>
      <c r="F260" s="181"/>
      <c r="G260" s="181"/>
      <c r="H260" s="181"/>
      <c r="I260" s="181"/>
      <c r="J260" s="182"/>
    </row>
    <row r="261" spans="1:10" ht="12.75" customHeight="1">
      <c r="A261" s="183"/>
      <c r="B261" s="181"/>
      <c r="C261" s="181"/>
      <c r="D261" s="181"/>
      <c r="E261" s="181"/>
      <c r="F261" s="181"/>
      <c r="G261" s="181"/>
      <c r="H261" s="181"/>
      <c r="I261" s="181"/>
      <c r="J261" s="182"/>
    </row>
    <row r="262" spans="1:10" ht="12.75" customHeight="1">
      <c r="A262" s="183"/>
      <c r="B262" s="181"/>
      <c r="C262" s="181"/>
      <c r="D262" s="181"/>
      <c r="E262" s="181"/>
      <c r="F262" s="181"/>
      <c r="G262" s="181"/>
      <c r="H262" s="181"/>
      <c r="I262" s="181"/>
      <c r="J262" s="182"/>
    </row>
    <row r="263" spans="1:10" ht="12.75" customHeight="1">
      <c r="A263" s="183"/>
      <c r="B263" s="181"/>
      <c r="C263" s="181"/>
      <c r="D263" s="181"/>
      <c r="E263" s="181"/>
      <c r="F263" s="181"/>
      <c r="G263" s="181"/>
      <c r="H263" s="181"/>
      <c r="I263" s="181"/>
      <c r="J263" s="182"/>
    </row>
    <row r="264" spans="1:10" ht="12.75" customHeight="1">
      <c r="A264" s="183"/>
      <c r="B264" s="181"/>
      <c r="C264" s="181"/>
      <c r="D264" s="181"/>
      <c r="E264" s="181"/>
      <c r="F264" s="181"/>
      <c r="G264" s="181"/>
      <c r="H264" s="181"/>
      <c r="I264" s="181"/>
      <c r="J264" s="182"/>
    </row>
    <row r="265" spans="1:10" ht="12.75" customHeight="1">
      <c r="A265" s="183"/>
      <c r="B265" s="181"/>
      <c r="C265" s="181"/>
      <c r="D265" s="181"/>
      <c r="E265" s="181"/>
      <c r="F265" s="181"/>
      <c r="G265" s="181"/>
      <c r="H265" s="181"/>
      <c r="I265" s="181"/>
      <c r="J265" s="182"/>
    </row>
    <row r="266" spans="1:10" ht="12.75" customHeight="1">
      <c r="A266" s="183"/>
      <c r="B266" s="181"/>
      <c r="C266" s="181"/>
      <c r="D266" s="181"/>
      <c r="E266" s="181"/>
      <c r="F266" s="181"/>
      <c r="G266" s="181"/>
      <c r="H266" s="181"/>
      <c r="I266" s="181"/>
      <c r="J266" s="182"/>
    </row>
    <row r="267" spans="1:10" ht="12.75" customHeight="1">
      <c r="A267" s="183"/>
      <c r="B267" s="181"/>
      <c r="C267" s="181"/>
      <c r="D267" s="181"/>
      <c r="E267" s="181"/>
      <c r="F267" s="181"/>
      <c r="G267" s="181"/>
      <c r="H267" s="181"/>
      <c r="I267" s="181"/>
      <c r="J267" s="182"/>
    </row>
    <row r="268" spans="1:10" ht="12.75" customHeight="1">
      <c r="A268" s="183"/>
      <c r="B268" s="181"/>
      <c r="C268" s="181"/>
      <c r="D268" s="181"/>
      <c r="E268" s="181"/>
      <c r="F268" s="181"/>
      <c r="G268" s="181"/>
      <c r="H268" s="181"/>
      <c r="I268" s="181"/>
      <c r="J268" s="182"/>
    </row>
    <row r="269" spans="1:10" ht="12.75" customHeight="1">
      <c r="A269" s="183"/>
      <c r="B269" s="181"/>
      <c r="C269" s="181"/>
      <c r="D269" s="181"/>
      <c r="E269" s="181"/>
      <c r="F269" s="181"/>
      <c r="G269" s="181"/>
      <c r="H269" s="181"/>
      <c r="I269" s="181"/>
      <c r="J269" s="182"/>
    </row>
    <row r="270" spans="1:10" ht="12.75" customHeight="1">
      <c r="A270" s="183"/>
      <c r="B270" s="181"/>
      <c r="C270" s="181"/>
      <c r="D270" s="181"/>
      <c r="E270" s="181"/>
      <c r="F270" s="181"/>
      <c r="G270" s="181"/>
      <c r="H270" s="181"/>
      <c r="I270" s="181"/>
      <c r="J270" s="182"/>
    </row>
    <row r="271" spans="1:10" ht="12.75" customHeight="1">
      <c r="A271" s="183"/>
      <c r="B271" s="181"/>
      <c r="C271" s="181"/>
      <c r="D271" s="181"/>
      <c r="E271" s="181"/>
      <c r="F271" s="181"/>
      <c r="G271" s="181"/>
      <c r="H271" s="181"/>
      <c r="I271" s="181"/>
      <c r="J271" s="182"/>
    </row>
    <row r="272" spans="1:10" ht="12.75" customHeight="1">
      <c r="A272" s="183"/>
      <c r="B272" s="181"/>
      <c r="C272" s="181"/>
      <c r="D272" s="181"/>
      <c r="E272" s="181"/>
      <c r="F272" s="181"/>
      <c r="G272" s="181"/>
      <c r="H272" s="181"/>
      <c r="I272" s="181"/>
      <c r="J272" s="182"/>
    </row>
    <row r="273" spans="1:10" ht="12.75" customHeight="1">
      <c r="A273" s="183"/>
      <c r="B273" s="181"/>
      <c r="C273" s="181"/>
      <c r="D273" s="181"/>
      <c r="E273" s="181"/>
      <c r="F273" s="181"/>
      <c r="G273" s="181"/>
      <c r="H273" s="181"/>
      <c r="I273" s="181"/>
      <c r="J273" s="182"/>
    </row>
    <row r="274" spans="1:10" ht="12.75" customHeight="1">
      <c r="A274" s="183"/>
      <c r="B274" s="181"/>
      <c r="C274" s="181"/>
      <c r="D274" s="181"/>
      <c r="E274" s="181"/>
      <c r="F274" s="181"/>
      <c r="G274" s="181"/>
      <c r="H274" s="181"/>
      <c r="I274" s="181"/>
      <c r="J274" s="182"/>
    </row>
    <row r="275" spans="1:10" ht="12.75" customHeight="1">
      <c r="A275" s="183"/>
      <c r="B275" s="181"/>
      <c r="C275" s="181"/>
      <c r="D275" s="181"/>
      <c r="E275" s="181"/>
      <c r="F275" s="181"/>
      <c r="G275" s="181"/>
      <c r="H275" s="181"/>
      <c r="I275" s="181"/>
      <c r="J275" s="182"/>
    </row>
    <row r="276" spans="1:10" ht="12.75" customHeight="1">
      <c r="A276" s="183"/>
      <c r="B276" s="181"/>
      <c r="C276" s="181"/>
      <c r="D276" s="181"/>
      <c r="E276" s="181"/>
      <c r="F276" s="181"/>
      <c r="G276" s="181"/>
      <c r="H276" s="181"/>
      <c r="I276" s="181"/>
      <c r="J276" s="182"/>
    </row>
    <row r="277" spans="1:10" ht="12.75" customHeight="1">
      <c r="A277" s="183"/>
      <c r="B277" s="181"/>
      <c r="C277" s="181"/>
      <c r="D277" s="181"/>
      <c r="E277" s="181"/>
      <c r="F277" s="181"/>
      <c r="G277" s="181"/>
      <c r="H277" s="181"/>
      <c r="I277" s="181"/>
      <c r="J277" s="182"/>
    </row>
    <row r="278" spans="1:10" ht="12.75" customHeight="1">
      <c r="A278" s="183"/>
      <c r="B278" s="181"/>
      <c r="C278" s="181"/>
      <c r="D278" s="181"/>
      <c r="E278" s="181"/>
      <c r="F278" s="181"/>
      <c r="G278" s="181"/>
      <c r="H278" s="181"/>
      <c r="I278" s="181"/>
      <c r="J278" s="182"/>
    </row>
    <row r="279" spans="1:10" ht="12.75" customHeight="1">
      <c r="A279" s="183"/>
      <c r="B279" s="181"/>
      <c r="C279" s="181"/>
      <c r="D279" s="181"/>
      <c r="E279" s="181"/>
      <c r="F279" s="181"/>
      <c r="G279" s="181"/>
      <c r="H279" s="181"/>
      <c r="I279" s="181"/>
      <c r="J279" s="182"/>
    </row>
    <row r="280" spans="1:10" ht="12.75" customHeight="1">
      <c r="A280" s="183"/>
      <c r="B280" s="181"/>
      <c r="C280" s="181"/>
      <c r="D280" s="181"/>
      <c r="E280" s="181"/>
      <c r="F280" s="181"/>
      <c r="G280" s="181"/>
      <c r="H280" s="181"/>
      <c r="I280" s="181"/>
      <c r="J280" s="182"/>
    </row>
    <row r="281" spans="1:10" ht="12.75" customHeight="1">
      <c r="A281" s="183"/>
      <c r="B281" s="181"/>
      <c r="C281" s="181"/>
      <c r="D281" s="181"/>
      <c r="E281" s="181"/>
      <c r="F281" s="181"/>
      <c r="G281" s="181"/>
      <c r="H281" s="181"/>
      <c r="I281" s="181"/>
      <c r="J281" s="182"/>
    </row>
    <row r="282" spans="1:10" ht="12.75" customHeight="1">
      <c r="A282" s="183"/>
      <c r="B282" s="181"/>
      <c r="C282" s="181"/>
      <c r="D282" s="181"/>
      <c r="E282" s="181"/>
      <c r="F282" s="181"/>
      <c r="G282" s="181"/>
      <c r="H282" s="181"/>
      <c r="I282" s="181"/>
      <c r="J282" s="182"/>
    </row>
    <row r="283" spans="1:10" ht="12.75" customHeight="1">
      <c r="A283" s="183"/>
      <c r="B283" s="181"/>
      <c r="C283" s="181"/>
      <c r="D283" s="181"/>
      <c r="E283" s="181"/>
      <c r="F283" s="181"/>
      <c r="G283" s="181"/>
      <c r="H283" s="181"/>
      <c r="I283" s="181"/>
      <c r="J283" s="182"/>
    </row>
    <row r="284" spans="1:10" ht="12.75" customHeight="1">
      <c r="A284" s="183"/>
      <c r="B284" s="181"/>
      <c r="C284" s="181"/>
      <c r="D284" s="181"/>
      <c r="E284" s="181"/>
      <c r="F284" s="181"/>
      <c r="G284" s="181"/>
      <c r="H284" s="181"/>
      <c r="I284" s="181"/>
      <c r="J284" s="182"/>
    </row>
    <row r="285" spans="1:10" ht="12.75" customHeight="1">
      <c r="A285" s="201"/>
      <c r="B285" s="188"/>
      <c r="C285" s="188"/>
      <c r="D285" s="188"/>
      <c r="E285" s="188"/>
      <c r="F285" s="188"/>
      <c r="G285" s="188"/>
      <c r="H285" s="188"/>
      <c r="I285" s="188"/>
      <c r="J285" s="189"/>
    </row>
    <row r="286" spans="1:10" ht="12.75" customHeight="1"/>
    <row r="287" spans="1:10" ht="12.75" customHeight="1"/>
    <row r="288" spans="1:10" ht="12.75" customHeight="1">
      <c r="A288" s="240" t="s">
        <v>69</v>
      </c>
      <c r="B288" s="197"/>
      <c r="C288" s="197"/>
      <c r="D288" s="197"/>
      <c r="E288" s="197"/>
      <c r="F288" s="197"/>
      <c r="G288" s="197"/>
      <c r="H288" s="241" t="str">
        <f>'CONTACT INFORMATION'!$A$24</f>
        <v>San Francisco</v>
      </c>
      <c r="I288" s="197"/>
      <c r="J288" s="198"/>
    </row>
    <row r="289" spans="1:10" ht="7.5" customHeight="1">
      <c r="A289" s="142"/>
      <c r="B289" s="142"/>
      <c r="C289" s="142"/>
      <c r="D289" s="142"/>
      <c r="E289" s="142"/>
      <c r="F289" s="142"/>
      <c r="G289" s="142"/>
      <c r="H289" s="142"/>
      <c r="I289" s="142"/>
      <c r="J289" s="142"/>
    </row>
    <row r="290" spans="1:10" ht="12.75" customHeight="1">
      <c r="A290" s="271" t="s">
        <v>169</v>
      </c>
      <c r="B290" s="197"/>
      <c r="C290" s="197"/>
      <c r="D290" s="197"/>
      <c r="E290" s="197"/>
      <c r="F290" s="197"/>
      <c r="G290" s="197"/>
      <c r="H290" s="197"/>
      <c r="I290" s="197"/>
      <c r="J290" s="198"/>
    </row>
    <row r="291" spans="1:10" ht="12.75" customHeight="1">
      <c r="A291" s="273" t="s">
        <v>144</v>
      </c>
      <c r="B291" s="177"/>
      <c r="C291" s="177"/>
      <c r="D291" s="178"/>
      <c r="E291" s="276" t="s">
        <v>170</v>
      </c>
      <c r="F291" s="177"/>
      <c r="G291" s="177"/>
      <c r="H291" s="177"/>
      <c r="I291" s="177"/>
      <c r="J291" s="178"/>
    </row>
    <row r="292" spans="1:10" ht="12.75" customHeight="1">
      <c r="A292" s="274" t="s">
        <v>171</v>
      </c>
      <c r="B292" s="188"/>
      <c r="C292" s="188"/>
      <c r="D292" s="189"/>
      <c r="E292" s="201"/>
      <c r="F292" s="188"/>
      <c r="G292" s="188"/>
      <c r="H292" s="188"/>
      <c r="I292" s="188"/>
      <c r="J292" s="189"/>
    </row>
    <row r="293" spans="1:10" ht="12.75" customHeight="1">
      <c r="A293" s="275" t="s">
        <v>172</v>
      </c>
      <c r="B293" s="197"/>
      <c r="C293" s="197"/>
      <c r="D293" s="198"/>
      <c r="E293" s="230" t="s">
        <v>121</v>
      </c>
      <c r="F293" s="197"/>
      <c r="G293" s="197"/>
      <c r="H293" s="197"/>
      <c r="I293" s="197"/>
      <c r="J293" s="198"/>
    </row>
    <row r="294" spans="1:10" ht="27" customHeight="1">
      <c r="A294" s="143"/>
      <c r="B294" s="141"/>
      <c r="C294" s="141"/>
      <c r="D294" s="141"/>
      <c r="E294" s="269" t="s">
        <v>147</v>
      </c>
      <c r="F294" s="188"/>
      <c r="G294" s="269" t="s">
        <v>148</v>
      </c>
      <c r="H294" s="188"/>
      <c r="I294" s="270" t="s">
        <v>149</v>
      </c>
      <c r="J294" s="189"/>
    </row>
    <row r="295" spans="1:10" ht="12.75" customHeight="1">
      <c r="A295" s="227" t="s">
        <v>150</v>
      </c>
      <c r="B295" s="197"/>
      <c r="C295" s="197"/>
      <c r="D295" s="198"/>
      <c r="E295" s="262"/>
      <c r="F295" s="198"/>
      <c r="G295" s="262">
        <v>97076.154999999999</v>
      </c>
      <c r="H295" s="198"/>
      <c r="I295" s="263"/>
      <c r="J295" s="198"/>
    </row>
    <row r="296" spans="1:10" ht="12.75" customHeight="1">
      <c r="A296" s="265" t="s">
        <v>151</v>
      </c>
      <c r="B296" s="197"/>
      <c r="C296" s="197"/>
      <c r="D296" s="198"/>
      <c r="E296" s="260"/>
      <c r="F296" s="198"/>
      <c r="G296" s="261">
        <v>68761.95</v>
      </c>
      <c r="H296" s="198"/>
      <c r="I296" s="264"/>
      <c r="J296" s="198"/>
    </row>
    <row r="297" spans="1:10" ht="12.75" customHeight="1">
      <c r="A297" s="227" t="s">
        <v>152</v>
      </c>
      <c r="B297" s="197"/>
      <c r="C297" s="197"/>
      <c r="D297" s="198"/>
      <c r="E297" s="262"/>
      <c r="F297" s="198"/>
      <c r="G297" s="262"/>
      <c r="H297" s="198"/>
      <c r="I297" s="263"/>
      <c r="J297" s="198"/>
    </row>
    <row r="298" spans="1:10" ht="12.75" customHeight="1">
      <c r="A298" s="265" t="s">
        <v>153</v>
      </c>
      <c r="B298" s="197"/>
      <c r="C298" s="197"/>
      <c r="D298" s="198"/>
      <c r="E298" s="260"/>
      <c r="F298" s="198"/>
      <c r="G298" s="261">
        <v>333220.93</v>
      </c>
      <c r="H298" s="198"/>
      <c r="I298" s="264"/>
      <c r="J298" s="198"/>
    </row>
    <row r="299" spans="1:10" ht="12.75" customHeight="1">
      <c r="A299" s="227" t="s">
        <v>154</v>
      </c>
      <c r="B299" s="197"/>
      <c r="C299" s="197"/>
      <c r="D299" s="198"/>
      <c r="E299" s="262"/>
      <c r="F299" s="198"/>
      <c r="G299" s="262"/>
      <c r="H299" s="198"/>
      <c r="I299" s="263"/>
      <c r="J299" s="198"/>
    </row>
    <row r="300" spans="1:10" ht="12.75" customHeight="1">
      <c r="A300" s="265" t="s">
        <v>155</v>
      </c>
      <c r="B300" s="197"/>
      <c r="C300" s="197"/>
      <c r="D300" s="198"/>
      <c r="E300" s="260"/>
      <c r="F300" s="198"/>
      <c r="G300" s="261"/>
      <c r="H300" s="198"/>
      <c r="I300" s="264"/>
      <c r="J300" s="198"/>
    </row>
    <row r="301" spans="1:10" ht="12.75" customHeight="1">
      <c r="A301" s="227" t="s">
        <v>156</v>
      </c>
      <c r="B301" s="197"/>
      <c r="C301" s="197"/>
      <c r="D301" s="198"/>
      <c r="E301" s="266"/>
      <c r="F301" s="198"/>
      <c r="G301" s="266"/>
      <c r="H301" s="198"/>
      <c r="I301" s="267"/>
      <c r="J301" s="198"/>
    </row>
    <row r="302" spans="1:10" ht="12.75" customHeight="1">
      <c r="A302" s="259"/>
      <c r="B302" s="197"/>
      <c r="C302" s="197"/>
      <c r="D302" s="198"/>
      <c r="E302" s="260"/>
      <c r="F302" s="198"/>
      <c r="G302" s="261"/>
      <c r="H302" s="198"/>
      <c r="I302" s="261"/>
      <c r="J302" s="198"/>
    </row>
    <row r="303" spans="1:10" ht="12.75" customHeight="1">
      <c r="A303" s="259"/>
      <c r="B303" s="197"/>
      <c r="C303" s="197"/>
      <c r="D303" s="198"/>
      <c r="E303" s="260"/>
      <c r="F303" s="198"/>
      <c r="G303" s="261"/>
      <c r="H303" s="198"/>
      <c r="I303" s="261"/>
      <c r="J303" s="198"/>
    </row>
    <row r="304" spans="1:10" ht="12.75" customHeight="1">
      <c r="A304" s="259"/>
      <c r="B304" s="197"/>
      <c r="C304" s="197"/>
      <c r="D304" s="198"/>
      <c r="E304" s="260"/>
      <c r="F304" s="198"/>
      <c r="G304" s="261"/>
      <c r="H304" s="198"/>
      <c r="I304" s="261"/>
      <c r="J304" s="198"/>
    </row>
    <row r="305" spans="1:10" ht="12.75" customHeight="1">
      <c r="A305" s="231" t="s">
        <v>157</v>
      </c>
      <c r="B305" s="197"/>
      <c r="C305" s="197"/>
      <c r="D305" s="198"/>
      <c r="E305" s="256">
        <f>SUM(E295:E304)</f>
        <v>0</v>
      </c>
      <c r="F305" s="198"/>
      <c r="G305" s="256">
        <f>SUM(G295:G304)</f>
        <v>499059.03499999997</v>
      </c>
      <c r="H305" s="198"/>
      <c r="I305" s="256">
        <f>SUM(I295:I304)</f>
        <v>0</v>
      </c>
      <c r="J305" s="198"/>
    </row>
    <row r="306" spans="1:10" ht="12.75" customHeight="1">
      <c r="A306" s="257" t="s">
        <v>158</v>
      </c>
      <c r="B306" s="177"/>
      <c r="C306" s="177"/>
      <c r="D306" s="177"/>
      <c r="E306" s="177"/>
      <c r="F306" s="177"/>
      <c r="G306" s="177"/>
      <c r="H306" s="177"/>
      <c r="I306" s="177"/>
      <c r="J306" s="178"/>
    </row>
    <row r="307" spans="1:10" ht="12.75" customHeight="1">
      <c r="A307" s="258" t="s">
        <v>159</v>
      </c>
      <c r="B307" s="192"/>
      <c r="C307" s="192"/>
      <c r="D307" s="192"/>
      <c r="E307" s="192"/>
      <c r="F307" s="192"/>
      <c r="G307" s="192"/>
      <c r="H307" s="192"/>
      <c r="I307" s="192"/>
      <c r="J307" s="182"/>
    </row>
    <row r="308" spans="1:10" ht="12.75" customHeight="1">
      <c r="A308" s="258" t="s">
        <v>160</v>
      </c>
      <c r="B308" s="192"/>
      <c r="C308" s="192"/>
      <c r="D308" s="192"/>
      <c r="E308" s="192"/>
      <c r="F308" s="192"/>
      <c r="G308" s="192"/>
      <c r="H308" s="192"/>
      <c r="I308" s="192"/>
      <c r="J308" s="182"/>
    </row>
    <row r="309" spans="1:10" ht="12.75" customHeight="1">
      <c r="A309" s="268" t="s">
        <v>161</v>
      </c>
      <c r="B309" s="188"/>
      <c r="C309" s="188"/>
      <c r="D309" s="188"/>
      <c r="E309" s="188"/>
      <c r="F309" s="188"/>
      <c r="G309" s="188"/>
      <c r="H309" s="188"/>
      <c r="I309" s="188"/>
      <c r="J309" s="189"/>
    </row>
    <row r="310" spans="1:10" ht="12.75" customHeight="1">
      <c r="A310" s="207" t="s">
        <v>173</v>
      </c>
      <c r="B310" s="177"/>
      <c r="C310" s="177"/>
      <c r="D310" s="177"/>
      <c r="E310" s="177"/>
      <c r="F310" s="177"/>
      <c r="G310" s="177"/>
      <c r="H310" s="177"/>
      <c r="I310" s="177"/>
      <c r="J310" s="178"/>
    </row>
    <row r="311" spans="1:10" ht="12.75" customHeight="1">
      <c r="A311" s="183"/>
      <c r="B311" s="181"/>
      <c r="C311" s="181"/>
      <c r="D311" s="181"/>
      <c r="E311" s="181"/>
      <c r="F311" s="181"/>
      <c r="G311" s="181"/>
      <c r="H311" s="181"/>
      <c r="I311" s="181"/>
      <c r="J311" s="182"/>
    </row>
    <row r="312" spans="1:10" ht="12.75" customHeight="1">
      <c r="A312" s="183"/>
      <c r="B312" s="181"/>
      <c r="C312" s="181"/>
      <c r="D312" s="181"/>
      <c r="E312" s="181"/>
      <c r="F312" s="181"/>
      <c r="G312" s="181"/>
      <c r="H312" s="181"/>
      <c r="I312" s="181"/>
      <c r="J312" s="182"/>
    </row>
    <row r="313" spans="1:10" ht="12.75" customHeight="1">
      <c r="A313" s="183"/>
      <c r="B313" s="181"/>
      <c r="C313" s="181"/>
      <c r="D313" s="181"/>
      <c r="E313" s="181"/>
      <c r="F313" s="181"/>
      <c r="G313" s="181"/>
      <c r="H313" s="181"/>
      <c r="I313" s="181"/>
      <c r="J313" s="182"/>
    </row>
    <row r="314" spans="1:10" ht="12.75" customHeight="1">
      <c r="A314" s="183"/>
      <c r="B314" s="181"/>
      <c r="C314" s="181"/>
      <c r="D314" s="181"/>
      <c r="E314" s="181"/>
      <c r="F314" s="181"/>
      <c r="G314" s="181"/>
      <c r="H314" s="181"/>
      <c r="I314" s="181"/>
      <c r="J314" s="182"/>
    </row>
    <row r="315" spans="1:10" ht="12.75" customHeight="1">
      <c r="A315" s="183"/>
      <c r="B315" s="181"/>
      <c r="C315" s="181"/>
      <c r="D315" s="181"/>
      <c r="E315" s="181"/>
      <c r="F315" s="181"/>
      <c r="G315" s="181"/>
      <c r="H315" s="181"/>
      <c r="I315" s="181"/>
      <c r="J315" s="182"/>
    </row>
    <row r="316" spans="1:10" ht="12.75" customHeight="1">
      <c r="A316" s="183"/>
      <c r="B316" s="181"/>
      <c r="C316" s="181"/>
      <c r="D316" s="181"/>
      <c r="E316" s="181"/>
      <c r="F316" s="181"/>
      <c r="G316" s="181"/>
      <c r="H316" s="181"/>
      <c r="I316" s="181"/>
      <c r="J316" s="182"/>
    </row>
    <row r="317" spans="1:10" ht="12.75" customHeight="1">
      <c r="A317" s="183"/>
      <c r="B317" s="181"/>
      <c r="C317" s="181"/>
      <c r="D317" s="181"/>
      <c r="E317" s="181"/>
      <c r="F317" s="181"/>
      <c r="G317" s="181"/>
      <c r="H317" s="181"/>
      <c r="I317" s="181"/>
      <c r="J317" s="182"/>
    </row>
    <row r="318" spans="1:10" ht="12.75" customHeight="1">
      <c r="A318" s="183"/>
      <c r="B318" s="181"/>
      <c r="C318" s="181"/>
      <c r="D318" s="181"/>
      <c r="E318" s="181"/>
      <c r="F318" s="181"/>
      <c r="G318" s="181"/>
      <c r="H318" s="181"/>
      <c r="I318" s="181"/>
      <c r="J318" s="182"/>
    </row>
    <row r="319" spans="1:10" ht="12.75" customHeight="1">
      <c r="A319" s="183"/>
      <c r="B319" s="181"/>
      <c r="C319" s="181"/>
      <c r="D319" s="181"/>
      <c r="E319" s="181"/>
      <c r="F319" s="181"/>
      <c r="G319" s="181"/>
      <c r="H319" s="181"/>
      <c r="I319" s="181"/>
      <c r="J319" s="182"/>
    </row>
    <row r="320" spans="1:10" ht="12.75" customHeight="1">
      <c r="A320" s="183"/>
      <c r="B320" s="181"/>
      <c r="C320" s="181"/>
      <c r="D320" s="181"/>
      <c r="E320" s="181"/>
      <c r="F320" s="181"/>
      <c r="G320" s="181"/>
      <c r="H320" s="181"/>
      <c r="I320" s="181"/>
      <c r="J320" s="182"/>
    </row>
    <row r="321" spans="1:10" ht="12.75" customHeight="1">
      <c r="A321" s="183"/>
      <c r="B321" s="181"/>
      <c r="C321" s="181"/>
      <c r="D321" s="181"/>
      <c r="E321" s="181"/>
      <c r="F321" s="181"/>
      <c r="G321" s="181"/>
      <c r="H321" s="181"/>
      <c r="I321" s="181"/>
      <c r="J321" s="182"/>
    </row>
    <row r="322" spans="1:10" ht="12.75" customHeight="1">
      <c r="A322" s="183"/>
      <c r="B322" s="181"/>
      <c r="C322" s="181"/>
      <c r="D322" s="181"/>
      <c r="E322" s="181"/>
      <c r="F322" s="181"/>
      <c r="G322" s="181"/>
      <c r="H322" s="181"/>
      <c r="I322" s="181"/>
      <c r="J322" s="182"/>
    </row>
    <row r="323" spans="1:10" ht="12.75" customHeight="1">
      <c r="A323" s="183"/>
      <c r="B323" s="181"/>
      <c r="C323" s="181"/>
      <c r="D323" s="181"/>
      <c r="E323" s="181"/>
      <c r="F323" s="181"/>
      <c r="G323" s="181"/>
      <c r="H323" s="181"/>
      <c r="I323" s="181"/>
      <c r="J323" s="182"/>
    </row>
    <row r="324" spans="1:10" ht="12.75" customHeight="1">
      <c r="A324" s="183"/>
      <c r="B324" s="181"/>
      <c r="C324" s="181"/>
      <c r="D324" s="181"/>
      <c r="E324" s="181"/>
      <c r="F324" s="181"/>
      <c r="G324" s="181"/>
      <c r="H324" s="181"/>
      <c r="I324" s="181"/>
      <c r="J324" s="182"/>
    </row>
    <row r="325" spans="1:10" ht="12.75" customHeight="1">
      <c r="A325" s="183"/>
      <c r="B325" s="181"/>
      <c r="C325" s="181"/>
      <c r="D325" s="181"/>
      <c r="E325" s="181"/>
      <c r="F325" s="181"/>
      <c r="G325" s="181"/>
      <c r="H325" s="181"/>
      <c r="I325" s="181"/>
      <c r="J325" s="182"/>
    </row>
    <row r="326" spans="1:10" ht="12.75" customHeight="1">
      <c r="A326" s="183"/>
      <c r="B326" s="181"/>
      <c r="C326" s="181"/>
      <c r="D326" s="181"/>
      <c r="E326" s="181"/>
      <c r="F326" s="181"/>
      <c r="G326" s="181"/>
      <c r="H326" s="181"/>
      <c r="I326" s="181"/>
      <c r="J326" s="182"/>
    </row>
    <row r="327" spans="1:10" ht="12.75" customHeight="1">
      <c r="A327" s="183"/>
      <c r="B327" s="181"/>
      <c r="C327" s="181"/>
      <c r="D327" s="181"/>
      <c r="E327" s="181"/>
      <c r="F327" s="181"/>
      <c r="G327" s="181"/>
      <c r="H327" s="181"/>
      <c r="I327" s="181"/>
      <c r="J327" s="182"/>
    </row>
    <row r="328" spans="1:10" ht="12.75" customHeight="1">
      <c r="A328" s="183"/>
      <c r="B328" s="181"/>
      <c r="C328" s="181"/>
      <c r="D328" s="181"/>
      <c r="E328" s="181"/>
      <c r="F328" s="181"/>
      <c r="G328" s="181"/>
      <c r="H328" s="181"/>
      <c r="I328" s="181"/>
      <c r="J328" s="182"/>
    </row>
    <row r="329" spans="1:10" ht="12.75" customHeight="1">
      <c r="A329" s="183"/>
      <c r="B329" s="181"/>
      <c r="C329" s="181"/>
      <c r="D329" s="181"/>
      <c r="E329" s="181"/>
      <c r="F329" s="181"/>
      <c r="G329" s="181"/>
      <c r="H329" s="181"/>
      <c r="I329" s="181"/>
      <c r="J329" s="182"/>
    </row>
    <row r="330" spans="1:10" ht="12.75" customHeight="1">
      <c r="A330" s="183"/>
      <c r="B330" s="181"/>
      <c r="C330" s="181"/>
      <c r="D330" s="181"/>
      <c r="E330" s="181"/>
      <c r="F330" s="181"/>
      <c r="G330" s="181"/>
      <c r="H330" s="181"/>
      <c r="I330" s="181"/>
      <c r="J330" s="182"/>
    </row>
    <row r="331" spans="1:10" ht="12.75" customHeight="1">
      <c r="A331" s="183"/>
      <c r="B331" s="181"/>
      <c r="C331" s="181"/>
      <c r="D331" s="181"/>
      <c r="E331" s="181"/>
      <c r="F331" s="181"/>
      <c r="G331" s="181"/>
      <c r="H331" s="181"/>
      <c r="I331" s="181"/>
      <c r="J331" s="182"/>
    </row>
    <row r="332" spans="1:10" ht="12.75" customHeight="1">
      <c r="A332" s="183"/>
      <c r="B332" s="181"/>
      <c r="C332" s="181"/>
      <c r="D332" s="181"/>
      <c r="E332" s="181"/>
      <c r="F332" s="181"/>
      <c r="G332" s="181"/>
      <c r="H332" s="181"/>
      <c r="I332" s="181"/>
      <c r="J332" s="182"/>
    </row>
    <row r="333" spans="1:10" ht="12.75" customHeight="1">
      <c r="A333" s="183"/>
      <c r="B333" s="181"/>
      <c r="C333" s="181"/>
      <c r="D333" s="181"/>
      <c r="E333" s="181"/>
      <c r="F333" s="181"/>
      <c r="G333" s="181"/>
      <c r="H333" s="181"/>
      <c r="I333" s="181"/>
      <c r="J333" s="182"/>
    </row>
    <row r="334" spans="1:10" ht="12.75" customHeight="1">
      <c r="A334" s="183"/>
      <c r="B334" s="181"/>
      <c r="C334" s="181"/>
      <c r="D334" s="181"/>
      <c r="E334" s="181"/>
      <c r="F334" s="181"/>
      <c r="G334" s="181"/>
      <c r="H334" s="181"/>
      <c r="I334" s="181"/>
      <c r="J334" s="182"/>
    </row>
    <row r="335" spans="1:10" ht="12.75" customHeight="1">
      <c r="A335" s="183"/>
      <c r="B335" s="181"/>
      <c r="C335" s="181"/>
      <c r="D335" s="181"/>
      <c r="E335" s="181"/>
      <c r="F335" s="181"/>
      <c r="G335" s="181"/>
      <c r="H335" s="181"/>
      <c r="I335" s="181"/>
      <c r="J335" s="182"/>
    </row>
    <row r="336" spans="1:10" ht="12.75" customHeight="1">
      <c r="A336" s="183"/>
      <c r="B336" s="181"/>
      <c r="C336" s="181"/>
      <c r="D336" s="181"/>
      <c r="E336" s="181"/>
      <c r="F336" s="181"/>
      <c r="G336" s="181"/>
      <c r="H336" s="181"/>
      <c r="I336" s="181"/>
      <c r="J336" s="182"/>
    </row>
    <row r="337" spans="1:10" ht="12.75" customHeight="1">
      <c r="A337" s="183"/>
      <c r="B337" s="181"/>
      <c r="C337" s="181"/>
      <c r="D337" s="181"/>
      <c r="E337" s="181"/>
      <c r="F337" s="181"/>
      <c r="G337" s="181"/>
      <c r="H337" s="181"/>
      <c r="I337" s="181"/>
      <c r="J337" s="182"/>
    </row>
    <row r="338" spans="1:10" ht="12.75" customHeight="1">
      <c r="A338" s="183"/>
      <c r="B338" s="181"/>
      <c r="C338" s="181"/>
      <c r="D338" s="181"/>
      <c r="E338" s="181"/>
      <c r="F338" s="181"/>
      <c r="G338" s="181"/>
      <c r="H338" s="181"/>
      <c r="I338" s="181"/>
      <c r="J338" s="182"/>
    </row>
    <row r="339" spans="1:10" ht="12.75" customHeight="1">
      <c r="A339" s="183"/>
      <c r="B339" s="181"/>
      <c r="C339" s="181"/>
      <c r="D339" s="181"/>
      <c r="E339" s="181"/>
      <c r="F339" s="181"/>
      <c r="G339" s="181"/>
      <c r="H339" s="181"/>
      <c r="I339" s="181"/>
      <c r="J339" s="182"/>
    </row>
    <row r="340" spans="1:10" ht="12.75" customHeight="1">
      <c r="A340" s="183"/>
      <c r="B340" s="181"/>
      <c r="C340" s="181"/>
      <c r="D340" s="181"/>
      <c r="E340" s="181"/>
      <c r="F340" s="181"/>
      <c r="G340" s="181"/>
      <c r="H340" s="181"/>
      <c r="I340" s="181"/>
      <c r="J340" s="182"/>
    </row>
    <row r="341" spans="1:10" ht="12.75" customHeight="1">
      <c r="A341" s="183"/>
      <c r="B341" s="181"/>
      <c r="C341" s="181"/>
      <c r="D341" s="181"/>
      <c r="E341" s="181"/>
      <c r="F341" s="181"/>
      <c r="G341" s="181"/>
      <c r="H341" s="181"/>
      <c r="I341" s="181"/>
      <c r="J341" s="182"/>
    </row>
    <row r="342" spans="1:10" ht="12.75" customHeight="1">
      <c r="A342" s="183"/>
      <c r="B342" s="181"/>
      <c r="C342" s="181"/>
      <c r="D342" s="181"/>
      <c r="E342" s="181"/>
      <c r="F342" s="181"/>
      <c r="G342" s="181"/>
      <c r="H342" s="181"/>
      <c r="I342" s="181"/>
      <c r="J342" s="182"/>
    </row>
    <row r="343" spans="1:10" ht="12.75" customHeight="1">
      <c r="A343" s="183"/>
      <c r="B343" s="181"/>
      <c r="C343" s="181"/>
      <c r="D343" s="181"/>
      <c r="E343" s="181"/>
      <c r="F343" s="181"/>
      <c r="G343" s="181"/>
      <c r="H343" s="181"/>
      <c r="I343" s="181"/>
      <c r="J343" s="182"/>
    </row>
    <row r="344" spans="1:10" ht="12.75" customHeight="1">
      <c r="A344" s="201"/>
      <c r="B344" s="188"/>
      <c r="C344" s="188"/>
      <c r="D344" s="188"/>
      <c r="E344" s="188"/>
      <c r="F344" s="188"/>
      <c r="G344" s="188"/>
      <c r="H344" s="188"/>
      <c r="I344" s="188"/>
      <c r="J344" s="189"/>
    </row>
    <row r="345" spans="1:10" ht="12.75" customHeight="1"/>
    <row r="346" spans="1:10" ht="12.75" customHeight="1">
      <c r="A346" s="240" t="s">
        <v>69</v>
      </c>
      <c r="B346" s="197"/>
      <c r="C346" s="197"/>
      <c r="D346" s="197"/>
      <c r="E346" s="197"/>
      <c r="F346" s="197"/>
      <c r="G346" s="197"/>
      <c r="H346" s="241" t="str">
        <f>'CONTACT INFORMATION'!$A$24</f>
        <v>San Francisco</v>
      </c>
      <c r="I346" s="197"/>
      <c r="J346" s="198"/>
    </row>
    <row r="347" spans="1:10" ht="7.5" customHeight="1">
      <c r="A347" s="142"/>
      <c r="B347" s="142"/>
      <c r="C347" s="142"/>
      <c r="D347" s="142"/>
      <c r="E347" s="142"/>
      <c r="F347" s="142"/>
      <c r="G347" s="142"/>
      <c r="H347" s="142"/>
      <c r="I347" s="142"/>
      <c r="J347" s="142"/>
    </row>
    <row r="348" spans="1:10" ht="12.75" customHeight="1">
      <c r="A348" s="271" t="s">
        <v>174</v>
      </c>
      <c r="B348" s="197"/>
      <c r="C348" s="197"/>
      <c r="D348" s="197"/>
      <c r="E348" s="197"/>
      <c r="F348" s="197"/>
      <c r="G348" s="197"/>
      <c r="H348" s="197"/>
      <c r="I348" s="197"/>
      <c r="J348" s="198"/>
    </row>
    <row r="349" spans="1:10" ht="12.75" customHeight="1">
      <c r="A349" s="273" t="s">
        <v>144</v>
      </c>
      <c r="B349" s="177"/>
      <c r="C349" s="177"/>
      <c r="D349" s="178"/>
      <c r="E349" s="272"/>
      <c r="F349" s="177"/>
      <c r="G349" s="177"/>
      <c r="H349" s="177"/>
      <c r="I349" s="177"/>
      <c r="J349" s="178"/>
    </row>
    <row r="350" spans="1:10" ht="12.75" customHeight="1">
      <c r="A350" s="274" t="s">
        <v>171</v>
      </c>
      <c r="B350" s="188"/>
      <c r="C350" s="188"/>
      <c r="D350" s="189"/>
      <c r="E350" s="201"/>
      <c r="F350" s="188"/>
      <c r="G350" s="188"/>
      <c r="H350" s="188"/>
      <c r="I350" s="188"/>
      <c r="J350" s="189"/>
    </row>
    <row r="351" spans="1:10" ht="12.75" customHeight="1">
      <c r="A351" s="275" t="s">
        <v>172</v>
      </c>
      <c r="B351" s="197"/>
      <c r="C351" s="197"/>
      <c r="D351" s="198"/>
      <c r="E351" s="230"/>
      <c r="F351" s="197"/>
      <c r="G351" s="197"/>
      <c r="H351" s="197"/>
      <c r="I351" s="197"/>
      <c r="J351" s="198"/>
    </row>
    <row r="352" spans="1:10" ht="27" customHeight="1">
      <c r="A352" s="143"/>
      <c r="B352" s="141"/>
      <c r="C352" s="141"/>
      <c r="D352" s="141"/>
      <c r="E352" s="269" t="s">
        <v>147</v>
      </c>
      <c r="F352" s="188"/>
      <c r="G352" s="269" t="s">
        <v>148</v>
      </c>
      <c r="H352" s="188"/>
      <c r="I352" s="270" t="s">
        <v>149</v>
      </c>
      <c r="J352" s="189"/>
    </row>
    <row r="353" spans="1:10" ht="12.75" customHeight="1">
      <c r="A353" s="227" t="s">
        <v>150</v>
      </c>
      <c r="B353" s="197"/>
      <c r="C353" s="197"/>
      <c r="D353" s="198"/>
      <c r="E353" s="262"/>
      <c r="F353" s="198"/>
      <c r="G353" s="262"/>
      <c r="H353" s="198"/>
      <c r="I353" s="263"/>
      <c r="J353" s="198"/>
    </row>
    <row r="354" spans="1:10" ht="12.75" customHeight="1">
      <c r="A354" s="265" t="s">
        <v>151</v>
      </c>
      <c r="B354" s="197"/>
      <c r="C354" s="197"/>
      <c r="D354" s="198"/>
      <c r="E354" s="260"/>
      <c r="F354" s="198"/>
      <c r="G354" s="261"/>
      <c r="H354" s="198"/>
      <c r="I354" s="264"/>
      <c r="J354" s="198"/>
    </row>
    <row r="355" spans="1:10" ht="12.75" customHeight="1">
      <c r="A355" s="227" t="s">
        <v>152</v>
      </c>
      <c r="B355" s="197"/>
      <c r="C355" s="197"/>
      <c r="D355" s="198"/>
      <c r="E355" s="262"/>
      <c r="F355" s="198"/>
      <c r="G355" s="262"/>
      <c r="H355" s="198"/>
      <c r="I355" s="263"/>
      <c r="J355" s="198"/>
    </row>
    <row r="356" spans="1:10" ht="12.75" customHeight="1">
      <c r="A356" s="265" t="s">
        <v>153</v>
      </c>
      <c r="B356" s="197"/>
      <c r="C356" s="197"/>
      <c r="D356" s="198"/>
      <c r="E356" s="260"/>
      <c r="F356" s="198"/>
      <c r="G356" s="261"/>
      <c r="H356" s="198"/>
      <c r="I356" s="264"/>
      <c r="J356" s="198"/>
    </row>
    <row r="357" spans="1:10" ht="12.75" customHeight="1">
      <c r="A357" s="227" t="s">
        <v>154</v>
      </c>
      <c r="B357" s="197"/>
      <c r="C357" s="197"/>
      <c r="D357" s="198"/>
      <c r="E357" s="262"/>
      <c r="F357" s="198"/>
      <c r="G357" s="262"/>
      <c r="H357" s="198"/>
      <c r="I357" s="263"/>
      <c r="J357" s="198"/>
    </row>
    <row r="358" spans="1:10" ht="12.75" customHeight="1">
      <c r="A358" s="265" t="s">
        <v>155</v>
      </c>
      <c r="B358" s="197"/>
      <c r="C358" s="197"/>
      <c r="D358" s="198"/>
      <c r="E358" s="260"/>
      <c r="F358" s="198"/>
      <c r="G358" s="261"/>
      <c r="H358" s="198"/>
      <c r="I358" s="264"/>
      <c r="J358" s="198"/>
    </row>
    <row r="359" spans="1:10" ht="12.75" customHeight="1">
      <c r="A359" s="227" t="s">
        <v>156</v>
      </c>
      <c r="B359" s="197"/>
      <c r="C359" s="197"/>
      <c r="D359" s="198"/>
      <c r="E359" s="266"/>
      <c r="F359" s="198"/>
      <c r="G359" s="266"/>
      <c r="H359" s="198"/>
      <c r="I359" s="267"/>
      <c r="J359" s="198"/>
    </row>
    <row r="360" spans="1:10" ht="12.75" customHeight="1">
      <c r="A360" s="259"/>
      <c r="B360" s="197"/>
      <c r="C360" s="197"/>
      <c r="D360" s="198"/>
      <c r="E360" s="260"/>
      <c r="F360" s="198"/>
      <c r="G360" s="261"/>
      <c r="H360" s="198"/>
      <c r="I360" s="261"/>
      <c r="J360" s="198"/>
    </row>
    <row r="361" spans="1:10" ht="12.75" customHeight="1">
      <c r="A361" s="259"/>
      <c r="B361" s="197"/>
      <c r="C361" s="197"/>
      <c r="D361" s="198"/>
      <c r="E361" s="260"/>
      <c r="F361" s="198"/>
      <c r="G361" s="261"/>
      <c r="H361" s="198"/>
      <c r="I361" s="261"/>
      <c r="J361" s="198"/>
    </row>
    <row r="362" spans="1:10" ht="12.75" customHeight="1">
      <c r="A362" s="259"/>
      <c r="B362" s="197"/>
      <c r="C362" s="197"/>
      <c r="D362" s="198"/>
      <c r="E362" s="260"/>
      <c r="F362" s="198"/>
      <c r="G362" s="261"/>
      <c r="H362" s="198"/>
      <c r="I362" s="261"/>
      <c r="J362" s="198"/>
    </row>
    <row r="363" spans="1:10" ht="12.75" customHeight="1">
      <c r="A363" s="231" t="s">
        <v>157</v>
      </c>
      <c r="B363" s="197"/>
      <c r="C363" s="197"/>
      <c r="D363" s="198"/>
      <c r="E363" s="256">
        <f>SUM(E353:E362)</f>
        <v>0</v>
      </c>
      <c r="F363" s="198"/>
      <c r="G363" s="256">
        <f>SUM(G353:G362)</f>
        <v>0</v>
      </c>
      <c r="H363" s="198"/>
      <c r="I363" s="256">
        <f>SUM(I353:I362)</f>
        <v>0</v>
      </c>
      <c r="J363" s="198"/>
    </row>
    <row r="364" spans="1:10" ht="12.75" customHeight="1">
      <c r="A364" s="257" t="s">
        <v>158</v>
      </c>
      <c r="B364" s="177"/>
      <c r="C364" s="177"/>
      <c r="D364" s="177"/>
      <c r="E364" s="177"/>
      <c r="F364" s="177"/>
      <c r="G364" s="177"/>
      <c r="H364" s="177"/>
      <c r="I364" s="177"/>
      <c r="J364" s="178"/>
    </row>
    <row r="365" spans="1:10" ht="12.75" customHeight="1">
      <c r="A365" s="258" t="s">
        <v>159</v>
      </c>
      <c r="B365" s="192"/>
      <c r="C365" s="192"/>
      <c r="D365" s="192"/>
      <c r="E365" s="192"/>
      <c r="F365" s="192"/>
      <c r="G365" s="192"/>
      <c r="H365" s="192"/>
      <c r="I365" s="192"/>
      <c r="J365" s="182"/>
    </row>
    <row r="366" spans="1:10" ht="12.75" customHeight="1">
      <c r="A366" s="258" t="s">
        <v>160</v>
      </c>
      <c r="B366" s="192"/>
      <c r="C366" s="192"/>
      <c r="D366" s="192"/>
      <c r="E366" s="192"/>
      <c r="F366" s="192"/>
      <c r="G366" s="192"/>
      <c r="H366" s="192"/>
      <c r="I366" s="192"/>
      <c r="J366" s="182"/>
    </row>
    <row r="367" spans="1:10" ht="12.75" customHeight="1">
      <c r="A367" s="268" t="s">
        <v>161</v>
      </c>
      <c r="B367" s="188"/>
      <c r="C367" s="188"/>
      <c r="D367" s="188"/>
      <c r="E367" s="188"/>
      <c r="F367" s="188"/>
      <c r="G367" s="188"/>
      <c r="H367" s="188"/>
      <c r="I367" s="188"/>
      <c r="J367" s="189"/>
    </row>
    <row r="368" spans="1:10" ht="12.75" customHeight="1">
      <c r="A368" s="207"/>
      <c r="B368" s="177"/>
      <c r="C368" s="177"/>
      <c r="D368" s="177"/>
      <c r="E368" s="177"/>
      <c r="F368" s="177"/>
      <c r="G368" s="177"/>
      <c r="H368" s="177"/>
      <c r="I368" s="177"/>
      <c r="J368" s="178"/>
    </row>
    <row r="369" spans="1:10" ht="12.75" customHeight="1">
      <c r="A369" s="183"/>
      <c r="B369" s="181"/>
      <c r="C369" s="181"/>
      <c r="D369" s="181"/>
      <c r="E369" s="181"/>
      <c r="F369" s="181"/>
      <c r="G369" s="181"/>
      <c r="H369" s="181"/>
      <c r="I369" s="181"/>
      <c r="J369" s="182"/>
    </row>
    <row r="370" spans="1:10" ht="12.75" customHeight="1">
      <c r="A370" s="183"/>
      <c r="B370" s="181"/>
      <c r="C370" s="181"/>
      <c r="D370" s="181"/>
      <c r="E370" s="181"/>
      <c r="F370" s="181"/>
      <c r="G370" s="181"/>
      <c r="H370" s="181"/>
      <c r="I370" s="181"/>
      <c r="J370" s="182"/>
    </row>
    <row r="371" spans="1:10" ht="12.75" customHeight="1">
      <c r="A371" s="183"/>
      <c r="B371" s="181"/>
      <c r="C371" s="181"/>
      <c r="D371" s="181"/>
      <c r="E371" s="181"/>
      <c r="F371" s="181"/>
      <c r="G371" s="181"/>
      <c r="H371" s="181"/>
      <c r="I371" s="181"/>
      <c r="J371" s="182"/>
    </row>
    <row r="372" spans="1:10" ht="12.75" customHeight="1">
      <c r="A372" s="183"/>
      <c r="B372" s="181"/>
      <c r="C372" s="181"/>
      <c r="D372" s="181"/>
      <c r="E372" s="181"/>
      <c r="F372" s="181"/>
      <c r="G372" s="181"/>
      <c r="H372" s="181"/>
      <c r="I372" s="181"/>
      <c r="J372" s="182"/>
    </row>
    <row r="373" spans="1:10" ht="12.75" customHeight="1">
      <c r="A373" s="183"/>
      <c r="B373" s="181"/>
      <c r="C373" s="181"/>
      <c r="D373" s="181"/>
      <c r="E373" s="181"/>
      <c r="F373" s="181"/>
      <c r="G373" s="181"/>
      <c r="H373" s="181"/>
      <c r="I373" s="181"/>
      <c r="J373" s="182"/>
    </row>
    <row r="374" spans="1:10" ht="12.75" customHeight="1">
      <c r="A374" s="183"/>
      <c r="B374" s="181"/>
      <c r="C374" s="181"/>
      <c r="D374" s="181"/>
      <c r="E374" s="181"/>
      <c r="F374" s="181"/>
      <c r="G374" s="181"/>
      <c r="H374" s="181"/>
      <c r="I374" s="181"/>
      <c r="J374" s="182"/>
    </row>
    <row r="375" spans="1:10" ht="12.75" customHeight="1">
      <c r="A375" s="183"/>
      <c r="B375" s="181"/>
      <c r="C375" s="181"/>
      <c r="D375" s="181"/>
      <c r="E375" s="181"/>
      <c r="F375" s="181"/>
      <c r="G375" s="181"/>
      <c r="H375" s="181"/>
      <c r="I375" s="181"/>
      <c r="J375" s="182"/>
    </row>
    <row r="376" spans="1:10" ht="12.75" customHeight="1">
      <c r="A376" s="183"/>
      <c r="B376" s="181"/>
      <c r="C376" s="181"/>
      <c r="D376" s="181"/>
      <c r="E376" s="181"/>
      <c r="F376" s="181"/>
      <c r="G376" s="181"/>
      <c r="H376" s="181"/>
      <c r="I376" s="181"/>
      <c r="J376" s="182"/>
    </row>
    <row r="377" spans="1:10" ht="12.75" customHeight="1">
      <c r="A377" s="183"/>
      <c r="B377" s="181"/>
      <c r="C377" s="181"/>
      <c r="D377" s="181"/>
      <c r="E377" s="181"/>
      <c r="F377" s="181"/>
      <c r="G377" s="181"/>
      <c r="H377" s="181"/>
      <c r="I377" s="181"/>
      <c r="J377" s="182"/>
    </row>
    <row r="378" spans="1:10" ht="12.75" customHeight="1">
      <c r="A378" s="183"/>
      <c r="B378" s="181"/>
      <c r="C378" s="181"/>
      <c r="D378" s="181"/>
      <c r="E378" s="181"/>
      <c r="F378" s="181"/>
      <c r="G378" s="181"/>
      <c r="H378" s="181"/>
      <c r="I378" s="181"/>
      <c r="J378" s="182"/>
    </row>
    <row r="379" spans="1:10" ht="12.75" customHeight="1">
      <c r="A379" s="183"/>
      <c r="B379" s="181"/>
      <c r="C379" s="181"/>
      <c r="D379" s="181"/>
      <c r="E379" s="181"/>
      <c r="F379" s="181"/>
      <c r="G379" s="181"/>
      <c r="H379" s="181"/>
      <c r="I379" s="181"/>
      <c r="J379" s="182"/>
    </row>
    <row r="380" spans="1:10" ht="12.75" customHeight="1">
      <c r="A380" s="183"/>
      <c r="B380" s="181"/>
      <c r="C380" s="181"/>
      <c r="D380" s="181"/>
      <c r="E380" s="181"/>
      <c r="F380" s="181"/>
      <c r="G380" s="181"/>
      <c r="H380" s="181"/>
      <c r="I380" s="181"/>
      <c r="J380" s="182"/>
    </row>
    <row r="381" spans="1:10" ht="12.75" customHeight="1">
      <c r="A381" s="183"/>
      <c r="B381" s="181"/>
      <c r="C381" s="181"/>
      <c r="D381" s="181"/>
      <c r="E381" s="181"/>
      <c r="F381" s="181"/>
      <c r="G381" s="181"/>
      <c r="H381" s="181"/>
      <c r="I381" s="181"/>
      <c r="J381" s="182"/>
    </row>
    <row r="382" spans="1:10" ht="12.75" customHeight="1">
      <c r="A382" s="183"/>
      <c r="B382" s="181"/>
      <c r="C382" s="181"/>
      <c r="D382" s="181"/>
      <c r="E382" s="181"/>
      <c r="F382" s="181"/>
      <c r="G382" s="181"/>
      <c r="H382" s="181"/>
      <c r="I382" s="181"/>
      <c r="J382" s="182"/>
    </row>
    <row r="383" spans="1:10" ht="12.75" customHeight="1">
      <c r="A383" s="183"/>
      <c r="B383" s="181"/>
      <c r="C383" s="181"/>
      <c r="D383" s="181"/>
      <c r="E383" s="181"/>
      <c r="F383" s="181"/>
      <c r="G383" s="181"/>
      <c r="H383" s="181"/>
      <c r="I383" s="181"/>
      <c r="J383" s="182"/>
    </row>
    <row r="384" spans="1:10" ht="12.75" customHeight="1">
      <c r="A384" s="183"/>
      <c r="B384" s="181"/>
      <c r="C384" s="181"/>
      <c r="D384" s="181"/>
      <c r="E384" s="181"/>
      <c r="F384" s="181"/>
      <c r="G384" s="181"/>
      <c r="H384" s="181"/>
      <c r="I384" s="181"/>
      <c r="J384" s="182"/>
    </row>
    <row r="385" spans="1:10" ht="12.75" customHeight="1">
      <c r="A385" s="183"/>
      <c r="B385" s="181"/>
      <c r="C385" s="181"/>
      <c r="D385" s="181"/>
      <c r="E385" s="181"/>
      <c r="F385" s="181"/>
      <c r="G385" s="181"/>
      <c r="H385" s="181"/>
      <c r="I385" s="181"/>
      <c r="J385" s="182"/>
    </row>
    <row r="386" spans="1:10" ht="12.75" customHeight="1">
      <c r="A386" s="183"/>
      <c r="B386" s="181"/>
      <c r="C386" s="181"/>
      <c r="D386" s="181"/>
      <c r="E386" s="181"/>
      <c r="F386" s="181"/>
      <c r="G386" s="181"/>
      <c r="H386" s="181"/>
      <c r="I386" s="181"/>
      <c r="J386" s="182"/>
    </row>
    <row r="387" spans="1:10" ht="12.75" customHeight="1">
      <c r="A387" s="183"/>
      <c r="B387" s="181"/>
      <c r="C387" s="181"/>
      <c r="D387" s="181"/>
      <c r="E387" s="181"/>
      <c r="F387" s="181"/>
      <c r="G387" s="181"/>
      <c r="H387" s="181"/>
      <c r="I387" s="181"/>
      <c r="J387" s="182"/>
    </row>
    <row r="388" spans="1:10" ht="12.75" customHeight="1">
      <c r="A388" s="183"/>
      <c r="B388" s="181"/>
      <c r="C388" s="181"/>
      <c r="D388" s="181"/>
      <c r="E388" s="181"/>
      <c r="F388" s="181"/>
      <c r="G388" s="181"/>
      <c r="H388" s="181"/>
      <c r="I388" s="181"/>
      <c r="J388" s="182"/>
    </row>
    <row r="389" spans="1:10" ht="12.75" customHeight="1">
      <c r="A389" s="183"/>
      <c r="B389" s="181"/>
      <c r="C389" s="181"/>
      <c r="D389" s="181"/>
      <c r="E389" s="181"/>
      <c r="F389" s="181"/>
      <c r="G389" s="181"/>
      <c r="H389" s="181"/>
      <c r="I389" s="181"/>
      <c r="J389" s="182"/>
    </row>
    <row r="390" spans="1:10" ht="12.75" customHeight="1">
      <c r="A390" s="183"/>
      <c r="B390" s="181"/>
      <c r="C390" s="181"/>
      <c r="D390" s="181"/>
      <c r="E390" s="181"/>
      <c r="F390" s="181"/>
      <c r="G390" s="181"/>
      <c r="H390" s="181"/>
      <c r="I390" s="181"/>
      <c r="J390" s="182"/>
    </row>
    <row r="391" spans="1:10" ht="12.75" customHeight="1">
      <c r="A391" s="183"/>
      <c r="B391" s="181"/>
      <c r="C391" s="181"/>
      <c r="D391" s="181"/>
      <c r="E391" s="181"/>
      <c r="F391" s="181"/>
      <c r="G391" s="181"/>
      <c r="H391" s="181"/>
      <c r="I391" s="181"/>
      <c r="J391" s="182"/>
    </row>
    <row r="392" spans="1:10" ht="12.75" customHeight="1">
      <c r="A392" s="183"/>
      <c r="B392" s="181"/>
      <c r="C392" s="181"/>
      <c r="D392" s="181"/>
      <c r="E392" s="181"/>
      <c r="F392" s="181"/>
      <c r="G392" s="181"/>
      <c r="H392" s="181"/>
      <c r="I392" s="181"/>
      <c r="J392" s="182"/>
    </row>
    <row r="393" spans="1:10" ht="12.75" customHeight="1">
      <c r="A393" s="183"/>
      <c r="B393" s="181"/>
      <c r="C393" s="181"/>
      <c r="D393" s="181"/>
      <c r="E393" s="181"/>
      <c r="F393" s="181"/>
      <c r="G393" s="181"/>
      <c r="H393" s="181"/>
      <c r="I393" s="181"/>
      <c r="J393" s="182"/>
    </row>
    <row r="394" spans="1:10" ht="12.75" customHeight="1">
      <c r="A394" s="183"/>
      <c r="B394" s="181"/>
      <c r="C394" s="181"/>
      <c r="D394" s="181"/>
      <c r="E394" s="181"/>
      <c r="F394" s="181"/>
      <c r="G394" s="181"/>
      <c r="H394" s="181"/>
      <c r="I394" s="181"/>
      <c r="J394" s="182"/>
    </row>
    <row r="395" spans="1:10" ht="12.75" customHeight="1">
      <c r="A395" s="183"/>
      <c r="B395" s="181"/>
      <c r="C395" s="181"/>
      <c r="D395" s="181"/>
      <c r="E395" s="181"/>
      <c r="F395" s="181"/>
      <c r="G395" s="181"/>
      <c r="H395" s="181"/>
      <c r="I395" s="181"/>
      <c r="J395" s="182"/>
    </row>
    <row r="396" spans="1:10" ht="12.75" customHeight="1">
      <c r="A396" s="183"/>
      <c r="B396" s="181"/>
      <c r="C396" s="181"/>
      <c r="D396" s="181"/>
      <c r="E396" s="181"/>
      <c r="F396" s="181"/>
      <c r="G396" s="181"/>
      <c r="H396" s="181"/>
      <c r="I396" s="181"/>
      <c r="J396" s="182"/>
    </row>
    <row r="397" spans="1:10" ht="12.75" customHeight="1">
      <c r="A397" s="183"/>
      <c r="B397" s="181"/>
      <c r="C397" s="181"/>
      <c r="D397" s="181"/>
      <c r="E397" s="181"/>
      <c r="F397" s="181"/>
      <c r="G397" s="181"/>
      <c r="H397" s="181"/>
      <c r="I397" s="181"/>
      <c r="J397" s="182"/>
    </row>
    <row r="398" spans="1:10" ht="12.75" customHeight="1">
      <c r="A398" s="183"/>
      <c r="B398" s="181"/>
      <c r="C398" s="181"/>
      <c r="D398" s="181"/>
      <c r="E398" s="181"/>
      <c r="F398" s="181"/>
      <c r="G398" s="181"/>
      <c r="H398" s="181"/>
      <c r="I398" s="181"/>
      <c r="J398" s="182"/>
    </row>
    <row r="399" spans="1:10" ht="12.75" customHeight="1">
      <c r="A399" s="183"/>
      <c r="B399" s="181"/>
      <c r="C399" s="181"/>
      <c r="D399" s="181"/>
      <c r="E399" s="181"/>
      <c r="F399" s="181"/>
      <c r="G399" s="181"/>
      <c r="H399" s="181"/>
      <c r="I399" s="181"/>
      <c r="J399" s="182"/>
    </row>
    <row r="400" spans="1:10" ht="12.75" customHeight="1">
      <c r="A400" s="183"/>
      <c r="B400" s="181"/>
      <c r="C400" s="181"/>
      <c r="D400" s="181"/>
      <c r="E400" s="181"/>
      <c r="F400" s="181"/>
      <c r="G400" s="181"/>
      <c r="H400" s="181"/>
      <c r="I400" s="181"/>
      <c r="J400" s="182"/>
    </row>
    <row r="401" spans="1:10" ht="12.75" customHeight="1">
      <c r="A401" s="183"/>
      <c r="B401" s="181"/>
      <c r="C401" s="181"/>
      <c r="D401" s="181"/>
      <c r="E401" s="181"/>
      <c r="F401" s="181"/>
      <c r="G401" s="181"/>
      <c r="H401" s="181"/>
      <c r="I401" s="181"/>
      <c r="J401" s="182"/>
    </row>
    <row r="402" spans="1:10" ht="12.75" customHeight="1">
      <c r="A402" s="201"/>
      <c r="B402" s="188"/>
      <c r="C402" s="188"/>
      <c r="D402" s="188"/>
      <c r="E402" s="188"/>
      <c r="F402" s="188"/>
      <c r="G402" s="188"/>
      <c r="H402" s="188"/>
      <c r="I402" s="188"/>
      <c r="J402" s="189"/>
    </row>
    <row r="403" spans="1:10" ht="12.75" customHeight="1"/>
    <row r="404" spans="1:10" ht="12.75" customHeight="1">
      <c r="A404" s="240" t="s">
        <v>69</v>
      </c>
      <c r="B404" s="197"/>
      <c r="C404" s="197"/>
      <c r="D404" s="197"/>
      <c r="E404" s="197"/>
      <c r="F404" s="197"/>
      <c r="G404" s="197"/>
      <c r="H404" s="241" t="str">
        <f>'CONTACT INFORMATION'!$A$24</f>
        <v>San Francisco</v>
      </c>
      <c r="I404" s="197"/>
      <c r="J404" s="198"/>
    </row>
    <row r="405" spans="1:10" ht="7.5" customHeight="1">
      <c r="A405" s="142"/>
      <c r="B405" s="142"/>
      <c r="C405" s="142"/>
      <c r="D405" s="142"/>
      <c r="E405" s="142"/>
      <c r="F405" s="142"/>
      <c r="G405" s="142"/>
      <c r="H405" s="142"/>
      <c r="I405" s="142"/>
      <c r="J405" s="142"/>
    </row>
    <row r="406" spans="1:10" ht="12.75" customHeight="1">
      <c r="A406" s="271" t="s">
        <v>175</v>
      </c>
      <c r="B406" s="197"/>
      <c r="C406" s="197"/>
      <c r="D406" s="197"/>
      <c r="E406" s="197"/>
      <c r="F406" s="197"/>
      <c r="G406" s="197"/>
      <c r="H406" s="197"/>
      <c r="I406" s="197"/>
      <c r="J406" s="198"/>
    </row>
    <row r="407" spans="1:10" ht="12.75" customHeight="1">
      <c r="A407" s="273" t="s">
        <v>144</v>
      </c>
      <c r="B407" s="177"/>
      <c r="C407" s="177"/>
      <c r="D407" s="178"/>
      <c r="E407" s="272"/>
      <c r="F407" s="177"/>
      <c r="G407" s="177"/>
      <c r="H407" s="177"/>
      <c r="I407" s="177"/>
      <c r="J407" s="178"/>
    </row>
    <row r="408" spans="1:10" ht="12.75" customHeight="1">
      <c r="A408" s="274" t="s">
        <v>171</v>
      </c>
      <c r="B408" s="188"/>
      <c r="C408" s="188"/>
      <c r="D408" s="189"/>
      <c r="E408" s="201"/>
      <c r="F408" s="188"/>
      <c r="G408" s="188"/>
      <c r="H408" s="188"/>
      <c r="I408" s="188"/>
      <c r="J408" s="189"/>
    </row>
    <row r="409" spans="1:10" ht="12.75" customHeight="1">
      <c r="A409" s="275" t="s">
        <v>172</v>
      </c>
      <c r="B409" s="197"/>
      <c r="C409" s="197"/>
      <c r="D409" s="198"/>
      <c r="E409" s="230"/>
      <c r="F409" s="197"/>
      <c r="G409" s="197"/>
      <c r="H409" s="197"/>
      <c r="I409" s="197"/>
      <c r="J409" s="198"/>
    </row>
    <row r="410" spans="1:10" ht="27" customHeight="1">
      <c r="A410" s="143"/>
      <c r="B410" s="141"/>
      <c r="C410" s="141"/>
      <c r="D410" s="141"/>
      <c r="E410" s="269" t="s">
        <v>147</v>
      </c>
      <c r="F410" s="188"/>
      <c r="G410" s="269" t="s">
        <v>148</v>
      </c>
      <c r="H410" s="188"/>
      <c r="I410" s="270" t="s">
        <v>149</v>
      </c>
      <c r="J410" s="189"/>
    </row>
    <row r="411" spans="1:10" ht="12.75" customHeight="1">
      <c r="A411" s="227" t="s">
        <v>150</v>
      </c>
      <c r="B411" s="197"/>
      <c r="C411" s="197"/>
      <c r="D411" s="198"/>
      <c r="E411" s="262"/>
      <c r="F411" s="198"/>
      <c r="G411" s="262"/>
      <c r="H411" s="198"/>
      <c r="I411" s="263"/>
      <c r="J411" s="198"/>
    </row>
    <row r="412" spans="1:10" ht="12.75" customHeight="1">
      <c r="A412" s="265" t="s">
        <v>151</v>
      </c>
      <c r="B412" s="197"/>
      <c r="C412" s="197"/>
      <c r="D412" s="198"/>
      <c r="E412" s="260"/>
      <c r="F412" s="198"/>
      <c r="G412" s="261"/>
      <c r="H412" s="198"/>
      <c r="I412" s="264"/>
      <c r="J412" s="198"/>
    </row>
    <row r="413" spans="1:10" ht="12.75" customHeight="1">
      <c r="A413" s="227" t="s">
        <v>152</v>
      </c>
      <c r="B413" s="197"/>
      <c r="C413" s="197"/>
      <c r="D413" s="198"/>
      <c r="E413" s="262"/>
      <c r="F413" s="198"/>
      <c r="G413" s="262"/>
      <c r="H413" s="198"/>
      <c r="I413" s="263"/>
      <c r="J413" s="198"/>
    </row>
    <row r="414" spans="1:10" ht="12.75" customHeight="1">
      <c r="A414" s="265" t="s">
        <v>153</v>
      </c>
      <c r="B414" s="197"/>
      <c r="C414" s="197"/>
      <c r="D414" s="198"/>
      <c r="E414" s="260"/>
      <c r="F414" s="198"/>
      <c r="G414" s="261"/>
      <c r="H414" s="198"/>
      <c r="I414" s="264"/>
      <c r="J414" s="198"/>
    </row>
    <row r="415" spans="1:10" ht="12.75" customHeight="1">
      <c r="A415" s="227" t="s">
        <v>154</v>
      </c>
      <c r="B415" s="197"/>
      <c r="C415" s="197"/>
      <c r="D415" s="198"/>
      <c r="E415" s="262"/>
      <c r="F415" s="198"/>
      <c r="G415" s="262"/>
      <c r="H415" s="198"/>
      <c r="I415" s="263"/>
      <c r="J415" s="198"/>
    </row>
    <row r="416" spans="1:10" ht="12.75" customHeight="1">
      <c r="A416" s="265" t="s">
        <v>155</v>
      </c>
      <c r="B416" s="197"/>
      <c r="C416" s="197"/>
      <c r="D416" s="198"/>
      <c r="E416" s="260"/>
      <c r="F416" s="198"/>
      <c r="G416" s="261"/>
      <c r="H416" s="198"/>
      <c r="I416" s="264"/>
      <c r="J416" s="198"/>
    </row>
    <row r="417" spans="1:10" ht="12.75" customHeight="1">
      <c r="A417" s="227" t="s">
        <v>156</v>
      </c>
      <c r="B417" s="197"/>
      <c r="C417" s="197"/>
      <c r="D417" s="198"/>
      <c r="E417" s="266"/>
      <c r="F417" s="198"/>
      <c r="G417" s="266"/>
      <c r="H417" s="198"/>
      <c r="I417" s="267"/>
      <c r="J417" s="198"/>
    </row>
    <row r="418" spans="1:10" ht="12.75" customHeight="1">
      <c r="A418" s="259"/>
      <c r="B418" s="197"/>
      <c r="C418" s="197"/>
      <c r="D418" s="198"/>
      <c r="E418" s="260"/>
      <c r="F418" s="198"/>
      <c r="G418" s="261"/>
      <c r="H418" s="198"/>
      <c r="I418" s="261"/>
      <c r="J418" s="198"/>
    </row>
    <row r="419" spans="1:10" ht="12.75" customHeight="1">
      <c r="A419" s="259"/>
      <c r="B419" s="197"/>
      <c r="C419" s="197"/>
      <c r="D419" s="198"/>
      <c r="E419" s="260"/>
      <c r="F419" s="198"/>
      <c r="G419" s="261"/>
      <c r="H419" s="198"/>
      <c r="I419" s="261"/>
      <c r="J419" s="198"/>
    </row>
    <row r="420" spans="1:10" ht="12.75" customHeight="1">
      <c r="A420" s="259"/>
      <c r="B420" s="197"/>
      <c r="C420" s="197"/>
      <c r="D420" s="198"/>
      <c r="E420" s="260"/>
      <c r="F420" s="198"/>
      <c r="G420" s="261"/>
      <c r="H420" s="198"/>
      <c r="I420" s="261"/>
      <c r="J420" s="198"/>
    </row>
    <row r="421" spans="1:10" ht="12.75" customHeight="1">
      <c r="A421" s="231" t="s">
        <v>157</v>
      </c>
      <c r="B421" s="197"/>
      <c r="C421" s="197"/>
      <c r="D421" s="198"/>
      <c r="E421" s="256">
        <f>SUM(E411:E420)</f>
        <v>0</v>
      </c>
      <c r="F421" s="198"/>
      <c r="G421" s="256">
        <f>SUM(G411:G420)</f>
        <v>0</v>
      </c>
      <c r="H421" s="198"/>
      <c r="I421" s="256">
        <f>SUM(I411:I420)</f>
        <v>0</v>
      </c>
      <c r="J421" s="198"/>
    </row>
    <row r="422" spans="1:10" ht="12.75" customHeight="1">
      <c r="A422" s="257" t="s">
        <v>158</v>
      </c>
      <c r="B422" s="177"/>
      <c r="C422" s="177"/>
      <c r="D422" s="177"/>
      <c r="E422" s="177"/>
      <c r="F422" s="177"/>
      <c r="G422" s="177"/>
      <c r="H422" s="177"/>
      <c r="I422" s="177"/>
      <c r="J422" s="178"/>
    </row>
    <row r="423" spans="1:10" ht="12.75" customHeight="1">
      <c r="A423" s="258" t="s">
        <v>159</v>
      </c>
      <c r="B423" s="192"/>
      <c r="C423" s="192"/>
      <c r="D423" s="192"/>
      <c r="E423" s="192"/>
      <c r="F423" s="192"/>
      <c r="G423" s="192"/>
      <c r="H423" s="192"/>
      <c r="I423" s="192"/>
      <c r="J423" s="182"/>
    </row>
    <row r="424" spans="1:10" ht="12.75" customHeight="1">
      <c r="A424" s="258" t="s">
        <v>160</v>
      </c>
      <c r="B424" s="192"/>
      <c r="C424" s="192"/>
      <c r="D424" s="192"/>
      <c r="E424" s="192"/>
      <c r="F424" s="192"/>
      <c r="G424" s="192"/>
      <c r="H424" s="192"/>
      <c r="I424" s="192"/>
      <c r="J424" s="182"/>
    </row>
    <row r="425" spans="1:10" ht="12.75" customHeight="1">
      <c r="A425" s="268" t="s">
        <v>161</v>
      </c>
      <c r="B425" s="188"/>
      <c r="C425" s="188"/>
      <c r="D425" s="188"/>
      <c r="E425" s="188"/>
      <c r="F425" s="188"/>
      <c r="G425" s="188"/>
      <c r="H425" s="188"/>
      <c r="I425" s="188"/>
      <c r="J425" s="189"/>
    </row>
    <row r="426" spans="1:10" ht="12.75" customHeight="1">
      <c r="A426" s="207"/>
      <c r="B426" s="177"/>
      <c r="C426" s="177"/>
      <c r="D426" s="177"/>
      <c r="E426" s="177"/>
      <c r="F426" s="177"/>
      <c r="G426" s="177"/>
      <c r="H426" s="177"/>
      <c r="I426" s="177"/>
      <c r="J426" s="178"/>
    </row>
    <row r="427" spans="1:10" ht="12.75" customHeight="1">
      <c r="A427" s="183"/>
      <c r="B427" s="181"/>
      <c r="C427" s="181"/>
      <c r="D427" s="181"/>
      <c r="E427" s="181"/>
      <c r="F427" s="181"/>
      <c r="G427" s="181"/>
      <c r="H427" s="181"/>
      <c r="I427" s="181"/>
      <c r="J427" s="182"/>
    </row>
    <row r="428" spans="1:10" ht="12.75" customHeight="1">
      <c r="A428" s="183"/>
      <c r="B428" s="181"/>
      <c r="C428" s="181"/>
      <c r="D428" s="181"/>
      <c r="E428" s="181"/>
      <c r="F428" s="181"/>
      <c r="G428" s="181"/>
      <c r="H428" s="181"/>
      <c r="I428" s="181"/>
      <c r="J428" s="182"/>
    </row>
    <row r="429" spans="1:10" ht="12.75" customHeight="1">
      <c r="A429" s="183"/>
      <c r="B429" s="181"/>
      <c r="C429" s="181"/>
      <c r="D429" s="181"/>
      <c r="E429" s="181"/>
      <c r="F429" s="181"/>
      <c r="G429" s="181"/>
      <c r="H429" s="181"/>
      <c r="I429" s="181"/>
      <c r="J429" s="182"/>
    </row>
    <row r="430" spans="1:10" ht="12.75" customHeight="1">
      <c r="A430" s="183"/>
      <c r="B430" s="181"/>
      <c r="C430" s="181"/>
      <c r="D430" s="181"/>
      <c r="E430" s="181"/>
      <c r="F430" s="181"/>
      <c r="G430" s="181"/>
      <c r="H430" s="181"/>
      <c r="I430" s="181"/>
      <c r="J430" s="182"/>
    </row>
    <row r="431" spans="1:10" ht="12.75" customHeight="1">
      <c r="A431" s="183"/>
      <c r="B431" s="181"/>
      <c r="C431" s="181"/>
      <c r="D431" s="181"/>
      <c r="E431" s="181"/>
      <c r="F431" s="181"/>
      <c r="G431" s="181"/>
      <c r="H431" s="181"/>
      <c r="I431" s="181"/>
      <c r="J431" s="182"/>
    </row>
    <row r="432" spans="1:10" ht="12.75" customHeight="1">
      <c r="A432" s="183"/>
      <c r="B432" s="181"/>
      <c r="C432" s="181"/>
      <c r="D432" s="181"/>
      <c r="E432" s="181"/>
      <c r="F432" s="181"/>
      <c r="G432" s="181"/>
      <c r="H432" s="181"/>
      <c r="I432" s="181"/>
      <c r="J432" s="182"/>
    </row>
    <row r="433" spans="1:10" ht="12.75" customHeight="1">
      <c r="A433" s="183"/>
      <c r="B433" s="181"/>
      <c r="C433" s="181"/>
      <c r="D433" s="181"/>
      <c r="E433" s="181"/>
      <c r="F433" s="181"/>
      <c r="G433" s="181"/>
      <c r="H433" s="181"/>
      <c r="I433" s="181"/>
      <c r="J433" s="182"/>
    </row>
    <row r="434" spans="1:10" ht="12.75" customHeight="1">
      <c r="A434" s="183"/>
      <c r="B434" s="181"/>
      <c r="C434" s="181"/>
      <c r="D434" s="181"/>
      <c r="E434" s="181"/>
      <c r="F434" s="181"/>
      <c r="G434" s="181"/>
      <c r="H434" s="181"/>
      <c r="I434" s="181"/>
      <c r="J434" s="182"/>
    </row>
    <row r="435" spans="1:10" ht="12.75" customHeight="1">
      <c r="A435" s="183"/>
      <c r="B435" s="181"/>
      <c r="C435" s="181"/>
      <c r="D435" s="181"/>
      <c r="E435" s="181"/>
      <c r="F435" s="181"/>
      <c r="G435" s="181"/>
      <c r="H435" s="181"/>
      <c r="I435" s="181"/>
      <c r="J435" s="182"/>
    </row>
    <row r="436" spans="1:10" ht="12.75" customHeight="1">
      <c r="A436" s="183"/>
      <c r="B436" s="181"/>
      <c r="C436" s="181"/>
      <c r="D436" s="181"/>
      <c r="E436" s="181"/>
      <c r="F436" s="181"/>
      <c r="G436" s="181"/>
      <c r="H436" s="181"/>
      <c r="I436" s="181"/>
      <c r="J436" s="182"/>
    </row>
    <row r="437" spans="1:10" ht="12.75" customHeight="1">
      <c r="A437" s="183"/>
      <c r="B437" s="181"/>
      <c r="C437" s="181"/>
      <c r="D437" s="181"/>
      <c r="E437" s="181"/>
      <c r="F437" s="181"/>
      <c r="G437" s="181"/>
      <c r="H437" s="181"/>
      <c r="I437" s="181"/>
      <c r="J437" s="182"/>
    </row>
    <row r="438" spans="1:10" ht="12.75" customHeight="1">
      <c r="A438" s="183"/>
      <c r="B438" s="181"/>
      <c r="C438" s="181"/>
      <c r="D438" s="181"/>
      <c r="E438" s="181"/>
      <c r="F438" s="181"/>
      <c r="G438" s="181"/>
      <c r="H438" s="181"/>
      <c r="I438" s="181"/>
      <c r="J438" s="182"/>
    </row>
    <row r="439" spans="1:10" ht="12.75" customHeight="1">
      <c r="A439" s="183"/>
      <c r="B439" s="181"/>
      <c r="C439" s="181"/>
      <c r="D439" s="181"/>
      <c r="E439" s="181"/>
      <c r="F439" s="181"/>
      <c r="G439" s="181"/>
      <c r="H439" s="181"/>
      <c r="I439" s="181"/>
      <c r="J439" s="182"/>
    </row>
    <row r="440" spans="1:10" ht="12.75" customHeight="1">
      <c r="A440" s="183"/>
      <c r="B440" s="181"/>
      <c r="C440" s="181"/>
      <c r="D440" s="181"/>
      <c r="E440" s="181"/>
      <c r="F440" s="181"/>
      <c r="G440" s="181"/>
      <c r="H440" s="181"/>
      <c r="I440" s="181"/>
      <c r="J440" s="182"/>
    </row>
    <row r="441" spans="1:10" ht="12.75" customHeight="1">
      <c r="A441" s="183"/>
      <c r="B441" s="181"/>
      <c r="C441" s="181"/>
      <c r="D441" s="181"/>
      <c r="E441" s="181"/>
      <c r="F441" s="181"/>
      <c r="G441" s="181"/>
      <c r="H441" s="181"/>
      <c r="I441" s="181"/>
      <c r="J441" s="182"/>
    </row>
    <row r="442" spans="1:10" ht="12.75" customHeight="1">
      <c r="A442" s="183"/>
      <c r="B442" s="181"/>
      <c r="C442" s="181"/>
      <c r="D442" s="181"/>
      <c r="E442" s="181"/>
      <c r="F442" s="181"/>
      <c r="G442" s="181"/>
      <c r="H442" s="181"/>
      <c r="I442" s="181"/>
      <c r="J442" s="182"/>
    </row>
    <row r="443" spans="1:10" ht="12.75" customHeight="1">
      <c r="A443" s="183"/>
      <c r="B443" s="181"/>
      <c r="C443" s="181"/>
      <c r="D443" s="181"/>
      <c r="E443" s="181"/>
      <c r="F443" s="181"/>
      <c r="G443" s="181"/>
      <c r="H443" s="181"/>
      <c r="I443" s="181"/>
      <c r="J443" s="182"/>
    </row>
    <row r="444" spans="1:10" ht="12.75" customHeight="1">
      <c r="A444" s="183"/>
      <c r="B444" s="181"/>
      <c r="C444" s="181"/>
      <c r="D444" s="181"/>
      <c r="E444" s="181"/>
      <c r="F444" s="181"/>
      <c r="G444" s="181"/>
      <c r="H444" s="181"/>
      <c r="I444" s="181"/>
      <c r="J444" s="182"/>
    </row>
    <row r="445" spans="1:10" ht="12.75" customHeight="1">
      <c r="A445" s="183"/>
      <c r="B445" s="181"/>
      <c r="C445" s="181"/>
      <c r="D445" s="181"/>
      <c r="E445" s="181"/>
      <c r="F445" s="181"/>
      <c r="G445" s="181"/>
      <c r="H445" s="181"/>
      <c r="I445" s="181"/>
      <c r="J445" s="182"/>
    </row>
    <row r="446" spans="1:10" ht="12.75" customHeight="1">
      <c r="A446" s="183"/>
      <c r="B446" s="181"/>
      <c r="C446" s="181"/>
      <c r="D446" s="181"/>
      <c r="E446" s="181"/>
      <c r="F446" s="181"/>
      <c r="G446" s="181"/>
      <c r="H446" s="181"/>
      <c r="I446" s="181"/>
      <c r="J446" s="182"/>
    </row>
    <row r="447" spans="1:10" ht="12.75" customHeight="1">
      <c r="A447" s="183"/>
      <c r="B447" s="181"/>
      <c r="C447" s="181"/>
      <c r="D447" s="181"/>
      <c r="E447" s="181"/>
      <c r="F447" s="181"/>
      <c r="G447" s="181"/>
      <c r="H447" s="181"/>
      <c r="I447" s="181"/>
      <c r="J447" s="182"/>
    </row>
    <row r="448" spans="1:10" ht="12.75" customHeight="1">
      <c r="A448" s="183"/>
      <c r="B448" s="181"/>
      <c r="C448" s="181"/>
      <c r="D448" s="181"/>
      <c r="E448" s="181"/>
      <c r="F448" s="181"/>
      <c r="G448" s="181"/>
      <c r="H448" s="181"/>
      <c r="I448" s="181"/>
      <c r="J448" s="182"/>
    </row>
    <row r="449" spans="1:10" ht="12.75" customHeight="1">
      <c r="A449" s="183"/>
      <c r="B449" s="181"/>
      <c r="C449" s="181"/>
      <c r="D449" s="181"/>
      <c r="E449" s="181"/>
      <c r="F449" s="181"/>
      <c r="G449" s="181"/>
      <c r="H449" s="181"/>
      <c r="I449" s="181"/>
      <c r="J449" s="182"/>
    </row>
    <row r="450" spans="1:10" ht="12.75" customHeight="1">
      <c r="A450" s="183"/>
      <c r="B450" s="181"/>
      <c r="C450" s="181"/>
      <c r="D450" s="181"/>
      <c r="E450" s="181"/>
      <c r="F450" s="181"/>
      <c r="G450" s="181"/>
      <c r="H450" s="181"/>
      <c r="I450" s="181"/>
      <c r="J450" s="182"/>
    </row>
    <row r="451" spans="1:10" ht="12.75" customHeight="1">
      <c r="A451" s="183"/>
      <c r="B451" s="181"/>
      <c r="C451" s="181"/>
      <c r="D451" s="181"/>
      <c r="E451" s="181"/>
      <c r="F451" s="181"/>
      <c r="G451" s="181"/>
      <c r="H451" s="181"/>
      <c r="I451" s="181"/>
      <c r="J451" s="182"/>
    </row>
    <row r="452" spans="1:10" ht="12.75" customHeight="1">
      <c r="A452" s="183"/>
      <c r="B452" s="181"/>
      <c r="C452" s="181"/>
      <c r="D452" s="181"/>
      <c r="E452" s="181"/>
      <c r="F452" s="181"/>
      <c r="G452" s="181"/>
      <c r="H452" s="181"/>
      <c r="I452" s="181"/>
      <c r="J452" s="182"/>
    </row>
    <row r="453" spans="1:10" ht="12.75" customHeight="1">
      <c r="A453" s="183"/>
      <c r="B453" s="181"/>
      <c r="C453" s="181"/>
      <c r="D453" s="181"/>
      <c r="E453" s="181"/>
      <c r="F453" s="181"/>
      <c r="G453" s="181"/>
      <c r="H453" s="181"/>
      <c r="I453" s="181"/>
      <c r="J453" s="182"/>
    </row>
    <row r="454" spans="1:10" ht="12.75" customHeight="1">
      <c r="A454" s="183"/>
      <c r="B454" s="181"/>
      <c r="C454" s="181"/>
      <c r="D454" s="181"/>
      <c r="E454" s="181"/>
      <c r="F454" s="181"/>
      <c r="G454" s="181"/>
      <c r="H454" s="181"/>
      <c r="I454" s="181"/>
      <c r="J454" s="182"/>
    </row>
    <row r="455" spans="1:10" ht="12.75" customHeight="1">
      <c r="A455" s="183"/>
      <c r="B455" s="181"/>
      <c r="C455" s="181"/>
      <c r="D455" s="181"/>
      <c r="E455" s="181"/>
      <c r="F455" s="181"/>
      <c r="G455" s="181"/>
      <c r="H455" s="181"/>
      <c r="I455" s="181"/>
      <c r="J455" s="182"/>
    </row>
    <row r="456" spans="1:10" ht="12.75" customHeight="1">
      <c r="A456" s="183"/>
      <c r="B456" s="181"/>
      <c r="C456" s="181"/>
      <c r="D456" s="181"/>
      <c r="E456" s="181"/>
      <c r="F456" s="181"/>
      <c r="G456" s="181"/>
      <c r="H456" s="181"/>
      <c r="I456" s="181"/>
      <c r="J456" s="182"/>
    </row>
    <row r="457" spans="1:10" ht="12.75" customHeight="1">
      <c r="A457" s="183"/>
      <c r="B457" s="181"/>
      <c r="C457" s="181"/>
      <c r="D457" s="181"/>
      <c r="E457" s="181"/>
      <c r="F457" s="181"/>
      <c r="G457" s="181"/>
      <c r="H457" s="181"/>
      <c r="I457" s="181"/>
      <c r="J457" s="182"/>
    </row>
    <row r="458" spans="1:10" ht="12.75" customHeight="1">
      <c r="A458" s="183"/>
      <c r="B458" s="181"/>
      <c r="C458" s="181"/>
      <c r="D458" s="181"/>
      <c r="E458" s="181"/>
      <c r="F458" s="181"/>
      <c r="G458" s="181"/>
      <c r="H458" s="181"/>
      <c r="I458" s="181"/>
      <c r="J458" s="182"/>
    </row>
    <row r="459" spans="1:10" ht="12.75" customHeight="1">
      <c r="A459" s="183"/>
      <c r="B459" s="181"/>
      <c r="C459" s="181"/>
      <c r="D459" s="181"/>
      <c r="E459" s="181"/>
      <c r="F459" s="181"/>
      <c r="G459" s="181"/>
      <c r="H459" s="181"/>
      <c r="I459" s="181"/>
      <c r="J459" s="182"/>
    </row>
    <row r="460" spans="1:10" ht="12.75" customHeight="1">
      <c r="A460" s="201"/>
      <c r="B460" s="188"/>
      <c r="C460" s="188"/>
      <c r="D460" s="188"/>
      <c r="E460" s="188"/>
      <c r="F460" s="188"/>
      <c r="G460" s="188"/>
      <c r="H460" s="188"/>
      <c r="I460" s="188"/>
      <c r="J460" s="189"/>
    </row>
    <row r="461" spans="1:10" ht="12.75" customHeight="1"/>
    <row r="462" spans="1:10" ht="12.75" customHeight="1">
      <c r="A462" s="240" t="s">
        <v>69</v>
      </c>
      <c r="B462" s="197"/>
      <c r="C462" s="197"/>
      <c r="D462" s="197"/>
      <c r="E462" s="197"/>
      <c r="F462" s="197"/>
      <c r="G462" s="197"/>
      <c r="H462" s="241" t="str">
        <f>'CONTACT INFORMATION'!$A$24</f>
        <v>San Francisco</v>
      </c>
      <c r="I462" s="197"/>
      <c r="J462" s="198"/>
    </row>
    <row r="463" spans="1:10" ht="7.5" customHeight="1">
      <c r="A463" s="142"/>
      <c r="B463" s="142"/>
      <c r="C463" s="142"/>
      <c r="D463" s="142"/>
      <c r="E463" s="142"/>
      <c r="F463" s="142"/>
      <c r="G463" s="142"/>
      <c r="H463" s="142"/>
      <c r="I463" s="142"/>
      <c r="J463" s="142"/>
    </row>
    <row r="464" spans="1:10" ht="12.75" customHeight="1">
      <c r="A464" s="271" t="s">
        <v>176</v>
      </c>
      <c r="B464" s="197"/>
      <c r="C464" s="197"/>
      <c r="D464" s="197"/>
      <c r="E464" s="197"/>
      <c r="F464" s="197"/>
      <c r="G464" s="197"/>
      <c r="H464" s="197"/>
      <c r="I464" s="197"/>
      <c r="J464" s="198"/>
    </row>
    <row r="465" spans="1:10" ht="12.75" customHeight="1">
      <c r="A465" s="273" t="s">
        <v>144</v>
      </c>
      <c r="B465" s="177"/>
      <c r="C465" s="177"/>
      <c r="D465" s="178"/>
      <c r="E465" s="272"/>
      <c r="F465" s="177"/>
      <c r="G465" s="177"/>
      <c r="H465" s="177"/>
      <c r="I465" s="177"/>
      <c r="J465" s="178"/>
    </row>
    <row r="466" spans="1:10" ht="12.75" customHeight="1">
      <c r="A466" s="274" t="s">
        <v>171</v>
      </c>
      <c r="B466" s="188"/>
      <c r="C466" s="188"/>
      <c r="D466" s="189"/>
      <c r="E466" s="201"/>
      <c r="F466" s="188"/>
      <c r="G466" s="188"/>
      <c r="H466" s="188"/>
      <c r="I466" s="188"/>
      <c r="J466" s="189"/>
    </row>
    <row r="467" spans="1:10" ht="12.75" customHeight="1">
      <c r="A467" s="275" t="s">
        <v>172</v>
      </c>
      <c r="B467" s="197"/>
      <c r="C467" s="197"/>
      <c r="D467" s="198"/>
      <c r="E467" s="230"/>
      <c r="F467" s="197"/>
      <c r="G467" s="197"/>
      <c r="H467" s="197"/>
      <c r="I467" s="197"/>
      <c r="J467" s="198"/>
    </row>
    <row r="468" spans="1:10" ht="27" customHeight="1">
      <c r="A468" s="143"/>
      <c r="B468" s="141"/>
      <c r="C468" s="141"/>
      <c r="D468" s="141"/>
      <c r="E468" s="269" t="s">
        <v>147</v>
      </c>
      <c r="F468" s="188"/>
      <c r="G468" s="269" t="s">
        <v>148</v>
      </c>
      <c r="H468" s="188"/>
      <c r="I468" s="270" t="s">
        <v>149</v>
      </c>
      <c r="J468" s="189"/>
    </row>
    <row r="469" spans="1:10" ht="12.75" customHeight="1">
      <c r="A469" s="227" t="s">
        <v>150</v>
      </c>
      <c r="B469" s="197"/>
      <c r="C469" s="197"/>
      <c r="D469" s="198"/>
      <c r="E469" s="262"/>
      <c r="F469" s="198"/>
      <c r="G469" s="262"/>
      <c r="H469" s="198"/>
      <c r="I469" s="263"/>
      <c r="J469" s="198"/>
    </row>
    <row r="470" spans="1:10" ht="12.75" customHeight="1">
      <c r="A470" s="265" t="s">
        <v>151</v>
      </c>
      <c r="B470" s="197"/>
      <c r="C470" s="197"/>
      <c r="D470" s="198"/>
      <c r="E470" s="260"/>
      <c r="F470" s="198"/>
      <c r="G470" s="261"/>
      <c r="H470" s="198"/>
      <c r="I470" s="264"/>
      <c r="J470" s="198"/>
    </row>
    <row r="471" spans="1:10" ht="12.75" customHeight="1">
      <c r="A471" s="227" t="s">
        <v>152</v>
      </c>
      <c r="B471" s="197"/>
      <c r="C471" s="197"/>
      <c r="D471" s="198"/>
      <c r="E471" s="262"/>
      <c r="F471" s="198"/>
      <c r="G471" s="262"/>
      <c r="H471" s="198"/>
      <c r="I471" s="263"/>
      <c r="J471" s="198"/>
    </row>
    <row r="472" spans="1:10" ht="12.75" customHeight="1">
      <c r="A472" s="265" t="s">
        <v>153</v>
      </c>
      <c r="B472" s="197"/>
      <c r="C472" s="197"/>
      <c r="D472" s="198"/>
      <c r="E472" s="260"/>
      <c r="F472" s="198"/>
      <c r="G472" s="261"/>
      <c r="H472" s="198"/>
      <c r="I472" s="264"/>
      <c r="J472" s="198"/>
    </row>
    <row r="473" spans="1:10" ht="12.75" customHeight="1">
      <c r="A473" s="227" t="s">
        <v>154</v>
      </c>
      <c r="B473" s="197"/>
      <c r="C473" s="197"/>
      <c r="D473" s="198"/>
      <c r="E473" s="262"/>
      <c r="F473" s="198"/>
      <c r="G473" s="262"/>
      <c r="H473" s="198"/>
      <c r="I473" s="263"/>
      <c r="J473" s="198"/>
    </row>
    <row r="474" spans="1:10" ht="12.75" customHeight="1">
      <c r="A474" s="265" t="s">
        <v>155</v>
      </c>
      <c r="B474" s="197"/>
      <c r="C474" s="197"/>
      <c r="D474" s="198"/>
      <c r="E474" s="260"/>
      <c r="F474" s="198"/>
      <c r="G474" s="261"/>
      <c r="H474" s="198"/>
      <c r="I474" s="264"/>
      <c r="J474" s="198"/>
    </row>
    <row r="475" spans="1:10" ht="12.75" customHeight="1">
      <c r="A475" s="227" t="s">
        <v>156</v>
      </c>
      <c r="B475" s="197"/>
      <c r="C475" s="197"/>
      <c r="D475" s="198"/>
      <c r="E475" s="266"/>
      <c r="F475" s="198"/>
      <c r="G475" s="266"/>
      <c r="H475" s="198"/>
      <c r="I475" s="267"/>
      <c r="J475" s="198"/>
    </row>
    <row r="476" spans="1:10" ht="12.75" customHeight="1">
      <c r="A476" s="259"/>
      <c r="B476" s="197"/>
      <c r="C476" s="197"/>
      <c r="D476" s="198"/>
      <c r="E476" s="260"/>
      <c r="F476" s="198"/>
      <c r="G476" s="261"/>
      <c r="H476" s="198"/>
      <c r="I476" s="261"/>
      <c r="J476" s="198"/>
    </row>
    <row r="477" spans="1:10" ht="12.75" customHeight="1">
      <c r="A477" s="259"/>
      <c r="B477" s="197"/>
      <c r="C477" s="197"/>
      <c r="D477" s="198"/>
      <c r="E477" s="260"/>
      <c r="F477" s="198"/>
      <c r="G477" s="261"/>
      <c r="H477" s="198"/>
      <c r="I477" s="261"/>
      <c r="J477" s="198"/>
    </row>
    <row r="478" spans="1:10" ht="12.75" customHeight="1">
      <c r="A478" s="259"/>
      <c r="B478" s="197"/>
      <c r="C478" s="197"/>
      <c r="D478" s="198"/>
      <c r="E478" s="260"/>
      <c r="F478" s="198"/>
      <c r="G478" s="261"/>
      <c r="H478" s="198"/>
      <c r="I478" s="261"/>
      <c r="J478" s="198"/>
    </row>
    <row r="479" spans="1:10" ht="12.75" customHeight="1">
      <c r="A479" s="231" t="s">
        <v>157</v>
      </c>
      <c r="B479" s="197"/>
      <c r="C479" s="197"/>
      <c r="D479" s="198"/>
      <c r="E479" s="256">
        <f>SUM(E469:E478)</f>
        <v>0</v>
      </c>
      <c r="F479" s="198"/>
      <c r="G479" s="256">
        <f>SUM(G469:G478)</f>
        <v>0</v>
      </c>
      <c r="H479" s="198"/>
      <c r="I479" s="256">
        <f>SUM(I469:I478)</f>
        <v>0</v>
      </c>
      <c r="J479" s="198"/>
    </row>
    <row r="480" spans="1:10" ht="12.75" customHeight="1">
      <c r="A480" s="257" t="s">
        <v>158</v>
      </c>
      <c r="B480" s="177"/>
      <c r="C480" s="177"/>
      <c r="D480" s="177"/>
      <c r="E480" s="177"/>
      <c r="F480" s="177"/>
      <c r="G480" s="177"/>
      <c r="H480" s="177"/>
      <c r="I480" s="177"/>
      <c r="J480" s="178"/>
    </row>
    <row r="481" spans="1:10" ht="12.75" customHeight="1">
      <c r="A481" s="258" t="s">
        <v>159</v>
      </c>
      <c r="B481" s="192"/>
      <c r="C481" s="192"/>
      <c r="D481" s="192"/>
      <c r="E481" s="192"/>
      <c r="F481" s="192"/>
      <c r="G481" s="192"/>
      <c r="H481" s="192"/>
      <c r="I481" s="192"/>
      <c r="J481" s="182"/>
    </row>
    <row r="482" spans="1:10" ht="12.75" customHeight="1">
      <c r="A482" s="258" t="s">
        <v>160</v>
      </c>
      <c r="B482" s="192"/>
      <c r="C482" s="192"/>
      <c r="D482" s="192"/>
      <c r="E482" s="192"/>
      <c r="F482" s="192"/>
      <c r="G482" s="192"/>
      <c r="H482" s="192"/>
      <c r="I482" s="192"/>
      <c r="J482" s="182"/>
    </row>
    <row r="483" spans="1:10" ht="12.75" customHeight="1">
      <c r="A483" s="268" t="s">
        <v>161</v>
      </c>
      <c r="B483" s="188"/>
      <c r="C483" s="188"/>
      <c r="D483" s="188"/>
      <c r="E483" s="188"/>
      <c r="F483" s="188"/>
      <c r="G483" s="188"/>
      <c r="H483" s="188"/>
      <c r="I483" s="188"/>
      <c r="J483" s="189"/>
    </row>
    <row r="484" spans="1:10" ht="12.75" customHeight="1">
      <c r="A484" s="207"/>
      <c r="B484" s="177"/>
      <c r="C484" s="177"/>
      <c r="D484" s="177"/>
      <c r="E484" s="177"/>
      <c r="F484" s="177"/>
      <c r="G484" s="177"/>
      <c r="H484" s="177"/>
      <c r="I484" s="177"/>
      <c r="J484" s="178"/>
    </row>
    <row r="485" spans="1:10" ht="12.75" customHeight="1">
      <c r="A485" s="183"/>
      <c r="B485" s="181"/>
      <c r="C485" s="181"/>
      <c r="D485" s="181"/>
      <c r="E485" s="181"/>
      <c r="F485" s="181"/>
      <c r="G485" s="181"/>
      <c r="H485" s="181"/>
      <c r="I485" s="181"/>
      <c r="J485" s="182"/>
    </row>
    <row r="486" spans="1:10" ht="12.75" customHeight="1">
      <c r="A486" s="183"/>
      <c r="B486" s="181"/>
      <c r="C486" s="181"/>
      <c r="D486" s="181"/>
      <c r="E486" s="181"/>
      <c r="F486" s="181"/>
      <c r="G486" s="181"/>
      <c r="H486" s="181"/>
      <c r="I486" s="181"/>
      <c r="J486" s="182"/>
    </row>
    <row r="487" spans="1:10" ht="12.75" customHeight="1">
      <c r="A487" s="183"/>
      <c r="B487" s="181"/>
      <c r="C487" s="181"/>
      <c r="D487" s="181"/>
      <c r="E487" s="181"/>
      <c r="F487" s="181"/>
      <c r="G487" s="181"/>
      <c r="H487" s="181"/>
      <c r="I487" s="181"/>
      <c r="J487" s="182"/>
    </row>
    <row r="488" spans="1:10" ht="12.75" customHeight="1">
      <c r="A488" s="183"/>
      <c r="B488" s="181"/>
      <c r="C488" s="181"/>
      <c r="D488" s="181"/>
      <c r="E488" s="181"/>
      <c r="F488" s="181"/>
      <c r="G488" s="181"/>
      <c r="H488" s="181"/>
      <c r="I488" s="181"/>
      <c r="J488" s="182"/>
    </row>
    <row r="489" spans="1:10" ht="12.75" customHeight="1">
      <c r="A489" s="183"/>
      <c r="B489" s="181"/>
      <c r="C489" s="181"/>
      <c r="D489" s="181"/>
      <c r="E489" s="181"/>
      <c r="F489" s="181"/>
      <c r="G489" s="181"/>
      <c r="H489" s="181"/>
      <c r="I489" s="181"/>
      <c r="J489" s="182"/>
    </row>
    <row r="490" spans="1:10" ht="12.75" customHeight="1">
      <c r="A490" s="183"/>
      <c r="B490" s="181"/>
      <c r="C490" s="181"/>
      <c r="D490" s="181"/>
      <c r="E490" s="181"/>
      <c r="F490" s="181"/>
      <c r="G490" s="181"/>
      <c r="H490" s="181"/>
      <c r="I490" s="181"/>
      <c r="J490" s="182"/>
    </row>
    <row r="491" spans="1:10" ht="12.75" customHeight="1">
      <c r="A491" s="183"/>
      <c r="B491" s="181"/>
      <c r="C491" s="181"/>
      <c r="D491" s="181"/>
      <c r="E491" s="181"/>
      <c r="F491" s="181"/>
      <c r="G491" s="181"/>
      <c r="H491" s="181"/>
      <c r="I491" s="181"/>
      <c r="J491" s="182"/>
    </row>
    <row r="492" spans="1:10" ht="12.75" customHeight="1">
      <c r="A492" s="183"/>
      <c r="B492" s="181"/>
      <c r="C492" s="181"/>
      <c r="D492" s="181"/>
      <c r="E492" s="181"/>
      <c r="F492" s="181"/>
      <c r="G492" s="181"/>
      <c r="H492" s="181"/>
      <c r="I492" s="181"/>
      <c r="J492" s="182"/>
    </row>
    <row r="493" spans="1:10" ht="12.75" customHeight="1">
      <c r="A493" s="183"/>
      <c r="B493" s="181"/>
      <c r="C493" s="181"/>
      <c r="D493" s="181"/>
      <c r="E493" s="181"/>
      <c r="F493" s="181"/>
      <c r="G493" s="181"/>
      <c r="H493" s="181"/>
      <c r="I493" s="181"/>
      <c r="J493" s="182"/>
    </row>
    <row r="494" spans="1:10" ht="12.75" customHeight="1">
      <c r="A494" s="183"/>
      <c r="B494" s="181"/>
      <c r="C494" s="181"/>
      <c r="D494" s="181"/>
      <c r="E494" s="181"/>
      <c r="F494" s="181"/>
      <c r="G494" s="181"/>
      <c r="H494" s="181"/>
      <c r="I494" s="181"/>
      <c r="J494" s="182"/>
    </row>
    <row r="495" spans="1:10" ht="12.75" customHeight="1">
      <c r="A495" s="183"/>
      <c r="B495" s="181"/>
      <c r="C495" s="181"/>
      <c r="D495" s="181"/>
      <c r="E495" s="181"/>
      <c r="F495" s="181"/>
      <c r="G495" s="181"/>
      <c r="H495" s="181"/>
      <c r="I495" s="181"/>
      <c r="J495" s="182"/>
    </row>
    <row r="496" spans="1:10" ht="12.75" customHeight="1">
      <c r="A496" s="183"/>
      <c r="B496" s="181"/>
      <c r="C496" s="181"/>
      <c r="D496" s="181"/>
      <c r="E496" s="181"/>
      <c r="F496" s="181"/>
      <c r="G496" s="181"/>
      <c r="H496" s="181"/>
      <c r="I496" s="181"/>
      <c r="J496" s="182"/>
    </row>
    <row r="497" spans="1:10" ht="12.75" customHeight="1">
      <c r="A497" s="183"/>
      <c r="B497" s="181"/>
      <c r="C497" s="181"/>
      <c r="D497" s="181"/>
      <c r="E497" s="181"/>
      <c r="F497" s="181"/>
      <c r="G497" s="181"/>
      <c r="H497" s="181"/>
      <c r="I497" s="181"/>
      <c r="J497" s="182"/>
    </row>
    <row r="498" spans="1:10" ht="12.75" customHeight="1">
      <c r="A498" s="183"/>
      <c r="B498" s="181"/>
      <c r="C498" s="181"/>
      <c r="D498" s="181"/>
      <c r="E498" s="181"/>
      <c r="F498" s="181"/>
      <c r="G498" s="181"/>
      <c r="H498" s="181"/>
      <c r="I498" s="181"/>
      <c r="J498" s="182"/>
    </row>
    <row r="499" spans="1:10" ht="12.75" customHeight="1">
      <c r="A499" s="183"/>
      <c r="B499" s="181"/>
      <c r="C499" s="181"/>
      <c r="D499" s="181"/>
      <c r="E499" s="181"/>
      <c r="F499" s="181"/>
      <c r="G499" s="181"/>
      <c r="H499" s="181"/>
      <c r="I499" s="181"/>
      <c r="J499" s="182"/>
    </row>
    <row r="500" spans="1:10" ht="12.75" customHeight="1">
      <c r="A500" s="183"/>
      <c r="B500" s="181"/>
      <c r="C500" s="181"/>
      <c r="D500" s="181"/>
      <c r="E500" s="181"/>
      <c r="F500" s="181"/>
      <c r="G500" s="181"/>
      <c r="H500" s="181"/>
      <c r="I500" s="181"/>
      <c r="J500" s="182"/>
    </row>
    <row r="501" spans="1:10" ht="12.75" customHeight="1">
      <c r="A501" s="183"/>
      <c r="B501" s="181"/>
      <c r="C501" s="181"/>
      <c r="D501" s="181"/>
      <c r="E501" s="181"/>
      <c r="F501" s="181"/>
      <c r="G501" s="181"/>
      <c r="H501" s="181"/>
      <c r="I501" s="181"/>
      <c r="J501" s="182"/>
    </row>
    <row r="502" spans="1:10" ht="12.75" customHeight="1">
      <c r="A502" s="183"/>
      <c r="B502" s="181"/>
      <c r="C502" s="181"/>
      <c r="D502" s="181"/>
      <c r="E502" s="181"/>
      <c r="F502" s="181"/>
      <c r="G502" s="181"/>
      <c r="H502" s="181"/>
      <c r="I502" s="181"/>
      <c r="J502" s="182"/>
    </row>
    <row r="503" spans="1:10" ht="12.75" customHeight="1">
      <c r="A503" s="183"/>
      <c r="B503" s="181"/>
      <c r="C503" s="181"/>
      <c r="D503" s="181"/>
      <c r="E503" s="181"/>
      <c r="F503" s="181"/>
      <c r="G503" s="181"/>
      <c r="H503" s="181"/>
      <c r="I503" s="181"/>
      <c r="J503" s="182"/>
    </row>
    <row r="504" spans="1:10" ht="12.75" customHeight="1">
      <c r="A504" s="183"/>
      <c r="B504" s="181"/>
      <c r="C504" s="181"/>
      <c r="D504" s="181"/>
      <c r="E504" s="181"/>
      <c r="F504" s="181"/>
      <c r="G504" s="181"/>
      <c r="H504" s="181"/>
      <c r="I504" s="181"/>
      <c r="J504" s="182"/>
    </row>
    <row r="505" spans="1:10" ht="12.75" customHeight="1">
      <c r="A505" s="183"/>
      <c r="B505" s="181"/>
      <c r="C505" s="181"/>
      <c r="D505" s="181"/>
      <c r="E505" s="181"/>
      <c r="F505" s="181"/>
      <c r="G505" s="181"/>
      <c r="H505" s="181"/>
      <c r="I505" s="181"/>
      <c r="J505" s="182"/>
    </row>
    <row r="506" spans="1:10" ht="12.75" customHeight="1">
      <c r="A506" s="183"/>
      <c r="B506" s="181"/>
      <c r="C506" s="181"/>
      <c r="D506" s="181"/>
      <c r="E506" s="181"/>
      <c r="F506" s="181"/>
      <c r="G506" s="181"/>
      <c r="H506" s="181"/>
      <c r="I506" s="181"/>
      <c r="J506" s="182"/>
    </row>
    <row r="507" spans="1:10" ht="12.75" customHeight="1">
      <c r="A507" s="183"/>
      <c r="B507" s="181"/>
      <c r="C507" s="181"/>
      <c r="D507" s="181"/>
      <c r="E507" s="181"/>
      <c r="F507" s="181"/>
      <c r="G507" s="181"/>
      <c r="H507" s="181"/>
      <c r="I507" s="181"/>
      <c r="J507" s="182"/>
    </row>
    <row r="508" spans="1:10" ht="12.75" customHeight="1">
      <c r="A508" s="183"/>
      <c r="B508" s="181"/>
      <c r="C508" s="181"/>
      <c r="D508" s="181"/>
      <c r="E508" s="181"/>
      <c r="F508" s="181"/>
      <c r="G508" s="181"/>
      <c r="H508" s="181"/>
      <c r="I508" s="181"/>
      <c r="J508" s="182"/>
    </row>
    <row r="509" spans="1:10" ht="12.75" customHeight="1">
      <c r="A509" s="183"/>
      <c r="B509" s="181"/>
      <c r="C509" s="181"/>
      <c r="D509" s="181"/>
      <c r="E509" s="181"/>
      <c r="F509" s="181"/>
      <c r="G509" s="181"/>
      <c r="H509" s="181"/>
      <c r="I509" s="181"/>
      <c r="J509" s="182"/>
    </row>
    <row r="510" spans="1:10" ht="12.75" customHeight="1">
      <c r="A510" s="183"/>
      <c r="B510" s="181"/>
      <c r="C510" s="181"/>
      <c r="D510" s="181"/>
      <c r="E510" s="181"/>
      <c r="F510" s="181"/>
      <c r="G510" s="181"/>
      <c r="H510" s="181"/>
      <c r="I510" s="181"/>
      <c r="J510" s="182"/>
    </row>
    <row r="511" spans="1:10" ht="12.75" customHeight="1">
      <c r="A511" s="183"/>
      <c r="B511" s="181"/>
      <c r="C511" s="181"/>
      <c r="D511" s="181"/>
      <c r="E511" s="181"/>
      <c r="F511" s="181"/>
      <c r="G511" s="181"/>
      <c r="H511" s="181"/>
      <c r="I511" s="181"/>
      <c r="J511" s="182"/>
    </row>
    <row r="512" spans="1:10" ht="12.75" customHeight="1">
      <c r="A512" s="183"/>
      <c r="B512" s="181"/>
      <c r="C512" s="181"/>
      <c r="D512" s="181"/>
      <c r="E512" s="181"/>
      <c r="F512" s="181"/>
      <c r="G512" s="181"/>
      <c r="H512" s="181"/>
      <c r="I512" s="181"/>
      <c r="J512" s="182"/>
    </row>
    <row r="513" spans="1:10" ht="12.75" customHeight="1">
      <c r="A513" s="183"/>
      <c r="B513" s="181"/>
      <c r="C513" s="181"/>
      <c r="D513" s="181"/>
      <c r="E513" s="181"/>
      <c r="F513" s="181"/>
      <c r="G513" s="181"/>
      <c r="H513" s="181"/>
      <c r="I513" s="181"/>
      <c r="J513" s="182"/>
    </row>
    <row r="514" spans="1:10" ht="12.75" customHeight="1">
      <c r="A514" s="183"/>
      <c r="B514" s="181"/>
      <c r="C514" s="181"/>
      <c r="D514" s="181"/>
      <c r="E514" s="181"/>
      <c r="F514" s="181"/>
      <c r="G514" s="181"/>
      <c r="H514" s="181"/>
      <c r="I514" s="181"/>
      <c r="J514" s="182"/>
    </row>
    <row r="515" spans="1:10" ht="12.75" customHeight="1">
      <c r="A515" s="183"/>
      <c r="B515" s="181"/>
      <c r="C515" s="181"/>
      <c r="D515" s="181"/>
      <c r="E515" s="181"/>
      <c r="F515" s="181"/>
      <c r="G515" s="181"/>
      <c r="H515" s="181"/>
      <c r="I515" s="181"/>
      <c r="J515" s="182"/>
    </row>
    <row r="516" spans="1:10" ht="12.75" customHeight="1">
      <c r="A516" s="183"/>
      <c r="B516" s="181"/>
      <c r="C516" s="181"/>
      <c r="D516" s="181"/>
      <c r="E516" s="181"/>
      <c r="F516" s="181"/>
      <c r="G516" s="181"/>
      <c r="H516" s="181"/>
      <c r="I516" s="181"/>
      <c r="J516" s="182"/>
    </row>
    <row r="517" spans="1:10" ht="12.75" customHeight="1">
      <c r="A517" s="183"/>
      <c r="B517" s="181"/>
      <c r="C517" s="181"/>
      <c r="D517" s="181"/>
      <c r="E517" s="181"/>
      <c r="F517" s="181"/>
      <c r="G517" s="181"/>
      <c r="H517" s="181"/>
      <c r="I517" s="181"/>
      <c r="J517" s="182"/>
    </row>
    <row r="518" spans="1:10" ht="12.75" customHeight="1">
      <c r="A518" s="201"/>
      <c r="B518" s="188"/>
      <c r="C518" s="188"/>
      <c r="D518" s="188"/>
      <c r="E518" s="188"/>
      <c r="F518" s="188"/>
      <c r="G518" s="188"/>
      <c r="H518" s="188"/>
      <c r="I518" s="188"/>
      <c r="J518" s="189"/>
    </row>
    <row r="519" spans="1:10" ht="12.75" customHeight="1"/>
    <row r="520" spans="1:10" ht="12.75" customHeight="1">
      <c r="A520" s="240" t="s">
        <v>69</v>
      </c>
      <c r="B520" s="197"/>
      <c r="C520" s="197"/>
      <c r="D520" s="197"/>
      <c r="E520" s="197"/>
      <c r="F520" s="197"/>
      <c r="G520" s="197"/>
      <c r="H520" s="241" t="str">
        <f>'CONTACT INFORMATION'!$A$24</f>
        <v>San Francisco</v>
      </c>
      <c r="I520" s="197"/>
      <c r="J520" s="198"/>
    </row>
    <row r="521" spans="1:10" ht="7.5" customHeight="1">
      <c r="A521" s="142"/>
      <c r="B521" s="142"/>
      <c r="C521" s="142"/>
      <c r="D521" s="142"/>
      <c r="E521" s="142"/>
      <c r="F521" s="142"/>
      <c r="G521" s="142"/>
      <c r="H521" s="142"/>
      <c r="I521" s="142"/>
      <c r="J521" s="142"/>
    </row>
    <row r="522" spans="1:10" ht="12.75" customHeight="1">
      <c r="A522" s="271" t="s">
        <v>177</v>
      </c>
      <c r="B522" s="197"/>
      <c r="C522" s="197"/>
      <c r="D522" s="197"/>
      <c r="E522" s="197"/>
      <c r="F522" s="197"/>
      <c r="G522" s="197"/>
      <c r="H522" s="197"/>
      <c r="I522" s="197"/>
      <c r="J522" s="198"/>
    </row>
    <row r="523" spans="1:10" ht="12.75" customHeight="1">
      <c r="A523" s="273" t="s">
        <v>144</v>
      </c>
      <c r="B523" s="177"/>
      <c r="C523" s="177"/>
      <c r="D523" s="178"/>
      <c r="E523" s="272"/>
      <c r="F523" s="177"/>
      <c r="G523" s="177"/>
      <c r="H523" s="177"/>
      <c r="I523" s="177"/>
      <c r="J523" s="178"/>
    </row>
    <row r="524" spans="1:10" ht="12.75" customHeight="1">
      <c r="A524" s="274" t="s">
        <v>171</v>
      </c>
      <c r="B524" s="188"/>
      <c r="C524" s="188"/>
      <c r="D524" s="189"/>
      <c r="E524" s="201"/>
      <c r="F524" s="188"/>
      <c r="G524" s="188"/>
      <c r="H524" s="188"/>
      <c r="I524" s="188"/>
      <c r="J524" s="189"/>
    </row>
    <row r="525" spans="1:10" ht="12.75" customHeight="1">
      <c r="A525" s="275" t="s">
        <v>172</v>
      </c>
      <c r="B525" s="197"/>
      <c r="C525" s="197"/>
      <c r="D525" s="198"/>
      <c r="E525" s="230"/>
      <c r="F525" s="197"/>
      <c r="G525" s="197"/>
      <c r="H525" s="197"/>
      <c r="I525" s="197"/>
      <c r="J525" s="198"/>
    </row>
    <row r="526" spans="1:10" ht="27" customHeight="1">
      <c r="A526" s="143"/>
      <c r="B526" s="141"/>
      <c r="C526" s="141"/>
      <c r="D526" s="141"/>
      <c r="E526" s="269" t="s">
        <v>147</v>
      </c>
      <c r="F526" s="188"/>
      <c r="G526" s="269" t="s">
        <v>148</v>
      </c>
      <c r="H526" s="188"/>
      <c r="I526" s="270" t="s">
        <v>149</v>
      </c>
      <c r="J526" s="189"/>
    </row>
    <row r="527" spans="1:10" ht="12.75" customHeight="1">
      <c r="A527" s="227" t="s">
        <v>150</v>
      </c>
      <c r="B527" s="197"/>
      <c r="C527" s="197"/>
      <c r="D527" s="198"/>
      <c r="E527" s="262"/>
      <c r="F527" s="198"/>
      <c r="G527" s="262"/>
      <c r="H527" s="198"/>
      <c r="I527" s="263"/>
      <c r="J527" s="198"/>
    </row>
    <row r="528" spans="1:10" ht="12.75" customHeight="1">
      <c r="A528" s="265" t="s">
        <v>151</v>
      </c>
      <c r="B528" s="197"/>
      <c r="C528" s="197"/>
      <c r="D528" s="198"/>
      <c r="E528" s="260"/>
      <c r="F528" s="198"/>
      <c r="G528" s="261"/>
      <c r="H528" s="198"/>
      <c r="I528" s="264"/>
      <c r="J528" s="198"/>
    </row>
    <row r="529" spans="1:10" ht="12.75" customHeight="1">
      <c r="A529" s="227" t="s">
        <v>152</v>
      </c>
      <c r="B529" s="197"/>
      <c r="C529" s="197"/>
      <c r="D529" s="198"/>
      <c r="E529" s="262"/>
      <c r="F529" s="198"/>
      <c r="G529" s="262"/>
      <c r="H529" s="198"/>
      <c r="I529" s="263"/>
      <c r="J529" s="198"/>
    </row>
    <row r="530" spans="1:10" ht="12.75" customHeight="1">
      <c r="A530" s="265" t="s">
        <v>153</v>
      </c>
      <c r="B530" s="197"/>
      <c r="C530" s="197"/>
      <c r="D530" s="198"/>
      <c r="E530" s="260"/>
      <c r="F530" s="198"/>
      <c r="G530" s="261"/>
      <c r="H530" s="198"/>
      <c r="I530" s="264"/>
      <c r="J530" s="198"/>
    </row>
    <row r="531" spans="1:10" ht="12.75" customHeight="1">
      <c r="A531" s="227" t="s">
        <v>154</v>
      </c>
      <c r="B531" s="197"/>
      <c r="C531" s="197"/>
      <c r="D531" s="198"/>
      <c r="E531" s="262"/>
      <c r="F531" s="198"/>
      <c r="G531" s="262"/>
      <c r="H531" s="198"/>
      <c r="I531" s="263"/>
      <c r="J531" s="198"/>
    </row>
    <row r="532" spans="1:10" ht="12.75" customHeight="1">
      <c r="A532" s="265" t="s">
        <v>155</v>
      </c>
      <c r="B532" s="197"/>
      <c r="C532" s="197"/>
      <c r="D532" s="198"/>
      <c r="E532" s="260"/>
      <c r="F532" s="198"/>
      <c r="G532" s="261"/>
      <c r="H532" s="198"/>
      <c r="I532" s="264"/>
      <c r="J532" s="198"/>
    </row>
    <row r="533" spans="1:10" ht="12.75" customHeight="1">
      <c r="A533" s="227" t="s">
        <v>156</v>
      </c>
      <c r="B533" s="197"/>
      <c r="C533" s="197"/>
      <c r="D533" s="198"/>
      <c r="E533" s="266"/>
      <c r="F533" s="198"/>
      <c r="G533" s="266"/>
      <c r="H533" s="198"/>
      <c r="I533" s="267"/>
      <c r="J533" s="198"/>
    </row>
    <row r="534" spans="1:10" ht="12.75" customHeight="1">
      <c r="A534" s="259"/>
      <c r="B534" s="197"/>
      <c r="C534" s="197"/>
      <c r="D534" s="198"/>
      <c r="E534" s="260"/>
      <c r="F534" s="198"/>
      <c r="G534" s="261"/>
      <c r="H534" s="198"/>
      <c r="I534" s="261"/>
      <c r="J534" s="198"/>
    </row>
    <row r="535" spans="1:10" ht="12.75" customHeight="1">
      <c r="A535" s="259"/>
      <c r="B535" s="197"/>
      <c r="C535" s="197"/>
      <c r="D535" s="198"/>
      <c r="E535" s="260"/>
      <c r="F535" s="198"/>
      <c r="G535" s="261"/>
      <c r="H535" s="198"/>
      <c r="I535" s="261"/>
      <c r="J535" s="198"/>
    </row>
    <row r="536" spans="1:10" ht="12.75" customHeight="1">
      <c r="A536" s="259"/>
      <c r="B536" s="197"/>
      <c r="C536" s="197"/>
      <c r="D536" s="198"/>
      <c r="E536" s="260"/>
      <c r="F536" s="198"/>
      <c r="G536" s="261"/>
      <c r="H536" s="198"/>
      <c r="I536" s="261"/>
      <c r="J536" s="198"/>
    </row>
    <row r="537" spans="1:10" ht="12.75" customHeight="1">
      <c r="A537" s="231" t="s">
        <v>157</v>
      </c>
      <c r="B537" s="197"/>
      <c r="C537" s="197"/>
      <c r="D537" s="198"/>
      <c r="E537" s="256">
        <f>SUM(E527:E536)</f>
        <v>0</v>
      </c>
      <c r="F537" s="198"/>
      <c r="G537" s="256">
        <f>SUM(G527:G536)</f>
        <v>0</v>
      </c>
      <c r="H537" s="198"/>
      <c r="I537" s="256">
        <f>SUM(I527:I536)</f>
        <v>0</v>
      </c>
      <c r="J537" s="198"/>
    </row>
    <row r="538" spans="1:10" ht="12.75" customHeight="1">
      <c r="A538" s="257" t="s">
        <v>158</v>
      </c>
      <c r="B538" s="177"/>
      <c r="C538" s="177"/>
      <c r="D538" s="177"/>
      <c r="E538" s="177"/>
      <c r="F538" s="177"/>
      <c r="G538" s="177"/>
      <c r="H538" s="177"/>
      <c r="I538" s="177"/>
      <c r="J538" s="178"/>
    </row>
    <row r="539" spans="1:10" ht="12.75" customHeight="1">
      <c r="A539" s="258" t="s">
        <v>159</v>
      </c>
      <c r="B539" s="192"/>
      <c r="C539" s="192"/>
      <c r="D539" s="192"/>
      <c r="E539" s="192"/>
      <c r="F539" s="192"/>
      <c r="G539" s="192"/>
      <c r="H539" s="192"/>
      <c r="I539" s="192"/>
      <c r="J539" s="182"/>
    </row>
    <row r="540" spans="1:10" ht="12.75" customHeight="1">
      <c r="A540" s="258" t="s">
        <v>160</v>
      </c>
      <c r="B540" s="192"/>
      <c r="C540" s="192"/>
      <c r="D540" s="192"/>
      <c r="E540" s="192"/>
      <c r="F540" s="192"/>
      <c r="G540" s="192"/>
      <c r="H540" s="192"/>
      <c r="I540" s="192"/>
      <c r="J540" s="182"/>
    </row>
    <row r="541" spans="1:10" ht="12.75" customHeight="1">
      <c r="A541" s="268" t="s">
        <v>161</v>
      </c>
      <c r="B541" s="188"/>
      <c r="C541" s="188"/>
      <c r="D541" s="188"/>
      <c r="E541" s="188"/>
      <c r="F541" s="188"/>
      <c r="G541" s="188"/>
      <c r="H541" s="188"/>
      <c r="I541" s="188"/>
      <c r="J541" s="189"/>
    </row>
    <row r="542" spans="1:10" ht="12.75" customHeight="1">
      <c r="A542" s="207"/>
      <c r="B542" s="177"/>
      <c r="C542" s="177"/>
      <c r="D542" s="177"/>
      <c r="E542" s="177"/>
      <c r="F542" s="177"/>
      <c r="G542" s="177"/>
      <c r="H542" s="177"/>
      <c r="I542" s="177"/>
      <c r="J542" s="178"/>
    </row>
    <row r="543" spans="1:10" ht="12.75" customHeight="1">
      <c r="A543" s="183"/>
      <c r="B543" s="181"/>
      <c r="C543" s="181"/>
      <c r="D543" s="181"/>
      <c r="E543" s="181"/>
      <c r="F543" s="181"/>
      <c r="G543" s="181"/>
      <c r="H543" s="181"/>
      <c r="I543" s="181"/>
      <c r="J543" s="182"/>
    </row>
    <row r="544" spans="1:10" ht="12.75" customHeight="1">
      <c r="A544" s="183"/>
      <c r="B544" s="181"/>
      <c r="C544" s="181"/>
      <c r="D544" s="181"/>
      <c r="E544" s="181"/>
      <c r="F544" s="181"/>
      <c r="G544" s="181"/>
      <c r="H544" s="181"/>
      <c r="I544" s="181"/>
      <c r="J544" s="182"/>
    </row>
    <row r="545" spans="1:10" ht="12.75" customHeight="1">
      <c r="A545" s="183"/>
      <c r="B545" s="181"/>
      <c r="C545" s="181"/>
      <c r="D545" s="181"/>
      <c r="E545" s="181"/>
      <c r="F545" s="181"/>
      <c r="G545" s="181"/>
      <c r="H545" s="181"/>
      <c r="I545" s="181"/>
      <c r="J545" s="182"/>
    </row>
    <row r="546" spans="1:10" ht="12.75" customHeight="1">
      <c r="A546" s="183"/>
      <c r="B546" s="181"/>
      <c r="C546" s="181"/>
      <c r="D546" s="181"/>
      <c r="E546" s="181"/>
      <c r="F546" s="181"/>
      <c r="G546" s="181"/>
      <c r="H546" s="181"/>
      <c r="I546" s="181"/>
      <c r="J546" s="182"/>
    </row>
    <row r="547" spans="1:10" ht="12.75" customHeight="1">
      <c r="A547" s="183"/>
      <c r="B547" s="181"/>
      <c r="C547" s="181"/>
      <c r="D547" s="181"/>
      <c r="E547" s="181"/>
      <c r="F547" s="181"/>
      <c r="G547" s="181"/>
      <c r="H547" s="181"/>
      <c r="I547" s="181"/>
      <c r="J547" s="182"/>
    </row>
    <row r="548" spans="1:10" ht="12.75" customHeight="1">
      <c r="A548" s="183"/>
      <c r="B548" s="181"/>
      <c r="C548" s="181"/>
      <c r="D548" s="181"/>
      <c r="E548" s="181"/>
      <c r="F548" s="181"/>
      <c r="G548" s="181"/>
      <c r="H548" s="181"/>
      <c r="I548" s="181"/>
      <c r="J548" s="182"/>
    </row>
    <row r="549" spans="1:10" ht="12.75" customHeight="1">
      <c r="A549" s="183"/>
      <c r="B549" s="181"/>
      <c r="C549" s="181"/>
      <c r="D549" s="181"/>
      <c r="E549" s="181"/>
      <c r="F549" s="181"/>
      <c r="G549" s="181"/>
      <c r="H549" s="181"/>
      <c r="I549" s="181"/>
      <c r="J549" s="182"/>
    </row>
    <row r="550" spans="1:10" ht="12.75" customHeight="1">
      <c r="A550" s="183"/>
      <c r="B550" s="181"/>
      <c r="C550" s="181"/>
      <c r="D550" s="181"/>
      <c r="E550" s="181"/>
      <c r="F550" s="181"/>
      <c r="G550" s="181"/>
      <c r="H550" s="181"/>
      <c r="I550" s="181"/>
      <c r="J550" s="182"/>
    </row>
    <row r="551" spans="1:10" ht="12.75" customHeight="1">
      <c r="A551" s="183"/>
      <c r="B551" s="181"/>
      <c r="C551" s="181"/>
      <c r="D551" s="181"/>
      <c r="E551" s="181"/>
      <c r="F551" s="181"/>
      <c r="G551" s="181"/>
      <c r="H551" s="181"/>
      <c r="I551" s="181"/>
      <c r="J551" s="182"/>
    </row>
    <row r="552" spans="1:10" ht="12.75" customHeight="1">
      <c r="A552" s="183"/>
      <c r="B552" s="181"/>
      <c r="C552" s="181"/>
      <c r="D552" s="181"/>
      <c r="E552" s="181"/>
      <c r="F552" s="181"/>
      <c r="G552" s="181"/>
      <c r="H552" s="181"/>
      <c r="I552" s="181"/>
      <c r="J552" s="182"/>
    </row>
    <row r="553" spans="1:10" ht="12.75" customHeight="1">
      <c r="A553" s="183"/>
      <c r="B553" s="181"/>
      <c r="C553" s="181"/>
      <c r="D553" s="181"/>
      <c r="E553" s="181"/>
      <c r="F553" s="181"/>
      <c r="G553" s="181"/>
      <c r="H553" s="181"/>
      <c r="I553" s="181"/>
      <c r="J553" s="182"/>
    </row>
    <row r="554" spans="1:10" ht="12.75" customHeight="1">
      <c r="A554" s="183"/>
      <c r="B554" s="181"/>
      <c r="C554" s="181"/>
      <c r="D554" s="181"/>
      <c r="E554" s="181"/>
      <c r="F554" s="181"/>
      <c r="G554" s="181"/>
      <c r="H554" s="181"/>
      <c r="I554" s="181"/>
      <c r="J554" s="182"/>
    </row>
    <row r="555" spans="1:10" ht="12.75" customHeight="1">
      <c r="A555" s="183"/>
      <c r="B555" s="181"/>
      <c r="C555" s="181"/>
      <c r="D555" s="181"/>
      <c r="E555" s="181"/>
      <c r="F555" s="181"/>
      <c r="G555" s="181"/>
      <c r="H555" s="181"/>
      <c r="I555" s="181"/>
      <c r="J555" s="182"/>
    </row>
    <row r="556" spans="1:10" ht="12.75" customHeight="1">
      <c r="A556" s="183"/>
      <c r="B556" s="181"/>
      <c r="C556" s="181"/>
      <c r="D556" s="181"/>
      <c r="E556" s="181"/>
      <c r="F556" s="181"/>
      <c r="G556" s="181"/>
      <c r="H556" s="181"/>
      <c r="I556" s="181"/>
      <c r="J556" s="182"/>
    </row>
    <row r="557" spans="1:10" ht="12.75" customHeight="1">
      <c r="A557" s="183"/>
      <c r="B557" s="181"/>
      <c r="C557" s="181"/>
      <c r="D557" s="181"/>
      <c r="E557" s="181"/>
      <c r="F557" s="181"/>
      <c r="G557" s="181"/>
      <c r="H557" s="181"/>
      <c r="I557" s="181"/>
      <c r="J557" s="182"/>
    </row>
    <row r="558" spans="1:10" ht="12.75" customHeight="1">
      <c r="A558" s="183"/>
      <c r="B558" s="181"/>
      <c r="C558" s="181"/>
      <c r="D558" s="181"/>
      <c r="E558" s="181"/>
      <c r="F558" s="181"/>
      <c r="G558" s="181"/>
      <c r="H558" s="181"/>
      <c r="I558" s="181"/>
      <c r="J558" s="182"/>
    </row>
    <row r="559" spans="1:10" ht="12.75" customHeight="1">
      <c r="A559" s="183"/>
      <c r="B559" s="181"/>
      <c r="C559" s="181"/>
      <c r="D559" s="181"/>
      <c r="E559" s="181"/>
      <c r="F559" s="181"/>
      <c r="G559" s="181"/>
      <c r="H559" s="181"/>
      <c r="I559" s="181"/>
      <c r="J559" s="182"/>
    </row>
    <row r="560" spans="1:10" ht="12.75" customHeight="1">
      <c r="A560" s="183"/>
      <c r="B560" s="181"/>
      <c r="C560" s="181"/>
      <c r="D560" s="181"/>
      <c r="E560" s="181"/>
      <c r="F560" s="181"/>
      <c r="G560" s="181"/>
      <c r="H560" s="181"/>
      <c r="I560" s="181"/>
      <c r="J560" s="182"/>
    </row>
    <row r="561" spans="1:10" ht="12.75" customHeight="1">
      <c r="A561" s="183"/>
      <c r="B561" s="181"/>
      <c r="C561" s="181"/>
      <c r="D561" s="181"/>
      <c r="E561" s="181"/>
      <c r="F561" s="181"/>
      <c r="G561" s="181"/>
      <c r="H561" s="181"/>
      <c r="I561" s="181"/>
      <c r="J561" s="182"/>
    </row>
    <row r="562" spans="1:10" ht="12.75" customHeight="1">
      <c r="A562" s="183"/>
      <c r="B562" s="181"/>
      <c r="C562" s="181"/>
      <c r="D562" s="181"/>
      <c r="E562" s="181"/>
      <c r="F562" s="181"/>
      <c r="G562" s="181"/>
      <c r="H562" s="181"/>
      <c r="I562" s="181"/>
      <c r="J562" s="182"/>
    </row>
    <row r="563" spans="1:10" ht="12.75" customHeight="1">
      <c r="A563" s="183"/>
      <c r="B563" s="181"/>
      <c r="C563" s="181"/>
      <c r="D563" s="181"/>
      <c r="E563" s="181"/>
      <c r="F563" s="181"/>
      <c r="G563" s="181"/>
      <c r="H563" s="181"/>
      <c r="I563" s="181"/>
      <c r="J563" s="182"/>
    </row>
    <row r="564" spans="1:10" ht="12.75" customHeight="1">
      <c r="A564" s="183"/>
      <c r="B564" s="181"/>
      <c r="C564" s="181"/>
      <c r="D564" s="181"/>
      <c r="E564" s="181"/>
      <c r="F564" s="181"/>
      <c r="G564" s="181"/>
      <c r="H564" s="181"/>
      <c r="I564" s="181"/>
      <c r="J564" s="182"/>
    </row>
    <row r="565" spans="1:10" ht="12.75" customHeight="1">
      <c r="A565" s="183"/>
      <c r="B565" s="181"/>
      <c r="C565" s="181"/>
      <c r="D565" s="181"/>
      <c r="E565" s="181"/>
      <c r="F565" s="181"/>
      <c r="G565" s="181"/>
      <c r="H565" s="181"/>
      <c r="I565" s="181"/>
      <c r="J565" s="182"/>
    </row>
    <row r="566" spans="1:10" ht="12.75" customHeight="1">
      <c r="A566" s="183"/>
      <c r="B566" s="181"/>
      <c r="C566" s="181"/>
      <c r="D566" s="181"/>
      <c r="E566" s="181"/>
      <c r="F566" s="181"/>
      <c r="G566" s="181"/>
      <c r="H566" s="181"/>
      <c r="I566" s="181"/>
      <c r="J566" s="182"/>
    </row>
    <row r="567" spans="1:10" ht="12.75" customHeight="1">
      <c r="A567" s="183"/>
      <c r="B567" s="181"/>
      <c r="C567" s="181"/>
      <c r="D567" s="181"/>
      <c r="E567" s="181"/>
      <c r="F567" s="181"/>
      <c r="G567" s="181"/>
      <c r="H567" s="181"/>
      <c r="I567" s="181"/>
      <c r="J567" s="182"/>
    </row>
    <row r="568" spans="1:10" ht="12.75" customHeight="1">
      <c r="A568" s="183"/>
      <c r="B568" s="181"/>
      <c r="C568" s="181"/>
      <c r="D568" s="181"/>
      <c r="E568" s="181"/>
      <c r="F568" s="181"/>
      <c r="G568" s="181"/>
      <c r="H568" s="181"/>
      <c r="I568" s="181"/>
      <c r="J568" s="182"/>
    </row>
    <row r="569" spans="1:10" ht="12.75" customHeight="1">
      <c r="A569" s="183"/>
      <c r="B569" s="181"/>
      <c r="C569" s="181"/>
      <c r="D569" s="181"/>
      <c r="E569" s="181"/>
      <c r="F569" s="181"/>
      <c r="G569" s="181"/>
      <c r="H569" s="181"/>
      <c r="I569" s="181"/>
      <c r="J569" s="182"/>
    </row>
    <row r="570" spans="1:10" ht="12.75" customHeight="1">
      <c r="A570" s="183"/>
      <c r="B570" s="181"/>
      <c r="C570" s="181"/>
      <c r="D570" s="181"/>
      <c r="E570" s="181"/>
      <c r="F570" s="181"/>
      <c r="G570" s="181"/>
      <c r="H570" s="181"/>
      <c r="I570" s="181"/>
      <c r="J570" s="182"/>
    </row>
    <row r="571" spans="1:10" ht="12.75" customHeight="1">
      <c r="A571" s="183"/>
      <c r="B571" s="181"/>
      <c r="C571" s="181"/>
      <c r="D571" s="181"/>
      <c r="E571" s="181"/>
      <c r="F571" s="181"/>
      <c r="G571" s="181"/>
      <c r="H571" s="181"/>
      <c r="I571" s="181"/>
      <c r="J571" s="182"/>
    </row>
    <row r="572" spans="1:10" ht="12.75" customHeight="1">
      <c r="A572" s="183"/>
      <c r="B572" s="181"/>
      <c r="C572" s="181"/>
      <c r="D572" s="181"/>
      <c r="E572" s="181"/>
      <c r="F572" s="181"/>
      <c r="G572" s="181"/>
      <c r="H572" s="181"/>
      <c r="I572" s="181"/>
      <c r="J572" s="182"/>
    </row>
    <row r="573" spans="1:10" ht="12.75" customHeight="1">
      <c r="A573" s="183"/>
      <c r="B573" s="181"/>
      <c r="C573" s="181"/>
      <c r="D573" s="181"/>
      <c r="E573" s="181"/>
      <c r="F573" s="181"/>
      <c r="G573" s="181"/>
      <c r="H573" s="181"/>
      <c r="I573" s="181"/>
      <c r="J573" s="182"/>
    </row>
    <row r="574" spans="1:10" ht="12.75" customHeight="1">
      <c r="A574" s="183"/>
      <c r="B574" s="181"/>
      <c r="C574" s="181"/>
      <c r="D574" s="181"/>
      <c r="E574" s="181"/>
      <c r="F574" s="181"/>
      <c r="G574" s="181"/>
      <c r="H574" s="181"/>
      <c r="I574" s="181"/>
      <c r="J574" s="182"/>
    </row>
    <row r="575" spans="1:10" ht="12.75" customHeight="1">
      <c r="A575" s="183"/>
      <c r="B575" s="181"/>
      <c r="C575" s="181"/>
      <c r="D575" s="181"/>
      <c r="E575" s="181"/>
      <c r="F575" s="181"/>
      <c r="G575" s="181"/>
      <c r="H575" s="181"/>
      <c r="I575" s="181"/>
      <c r="J575" s="182"/>
    </row>
    <row r="576" spans="1:10" ht="12.75" customHeight="1">
      <c r="A576" s="201"/>
      <c r="B576" s="188"/>
      <c r="C576" s="188"/>
      <c r="D576" s="188"/>
      <c r="E576" s="188"/>
      <c r="F576" s="188"/>
      <c r="G576" s="188"/>
      <c r="H576" s="188"/>
      <c r="I576" s="188"/>
      <c r="J576" s="189"/>
    </row>
    <row r="577" spans="1:10" ht="12.75" customHeight="1"/>
    <row r="578" spans="1:10" ht="12.75" customHeight="1">
      <c r="A578" s="240" t="s">
        <v>69</v>
      </c>
      <c r="B578" s="197"/>
      <c r="C578" s="197"/>
      <c r="D578" s="197"/>
      <c r="E578" s="197"/>
      <c r="F578" s="197"/>
      <c r="G578" s="197"/>
      <c r="H578" s="241" t="str">
        <f>'CONTACT INFORMATION'!$A$24</f>
        <v>San Francisco</v>
      </c>
      <c r="I578" s="197"/>
      <c r="J578" s="198"/>
    </row>
    <row r="579" spans="1:10" ht="7.5" customHeight="1">
      <c r="A579" s="142"/>
      <c r="B579" s="142"/>
      <c r="C579" s="142"/>
      <c r="D579" s="142"/>
      <c r="E579" s="142"/>
      <c r="F579" s="142"/>
      <c r="G579" s="142"/>
      <c r="H579" s="142"/>
      <c r="I579" s="142"/>
      <c r="J579" s="142"/>
    </row>
    <row r="580" spans="1:10" ht="12.75" customHeight="1">
      <c r="A580" s="271" t="s">
        <v>178</v>
      </c>
      <c r="B580" s="197"/>
      <c r="C580" s="197"/>
      <c r="D580" s="197"/>
      <c r="E580" s="197"/>
      <c r="F580" s="197"/>
      <c r="G580" s="197"/>
      <c r="H580" s="197"/>
      <c r="I580" s="197"/>
      <c r="J580" s="198"/>
    </row>
    <row r="581" spans="1:10" ht="12.75" customHeight="1">
      <c r="A581" s="273" t="s">
        <v>144</v>
      </c>
      <c r="B581" s="177"/>
      <c r="C581" s="177"/>
      <c r="D581" s="178"/>
      <c r="E581" s="272"/>
      <c r="F581" s="177"/>
      <c r="G581" s="177"/>
      <c r="H581" s="177"/>
      <c r="I581" s="177"/>
      <c r="J581" s="178"/>
    </row>
    <row r="582" spans="1:10" ht="12.75" customHeight="1">
      <c r="A582" s="274" t="s">
        <v>171</v>
      </c>
      <c r="B582" s="188"/>
      <c r="C582" s="188"/>
      <c r="D582" s="189"/>
      <c r="E582" s="201"/>
      <c r="F582" s="188"/>
      <c r="G582" s="188"/>
      <c r="H582" s="188"/>
      <c r="I582" s="188"/>
      <c r="J582" s="189"/>
    </row>
    <row r="583" spans="1:10" ht="12.75" customHeight="1">
      <c r="A583" s="275" t="s">
        <v>172</v>
      </c>
      <c r="B583" s="197"/>
      <c r="C583" s="197"/>
      <c r="D583" s="198"/>
      <c r="E583" s="230"/>
      <c r="F583" s="197"/>
      <c r="G583" s="197"/>
      <c r="H583" s="197"/>
      <c r="I583" s="197"/>
      <c r="J583" s="198"/>
    </row>
    <row r="584" spans="1:10" ht="27" customHeight="1">
      <c r="A584" s="143"/>
      <c r="B584" s="141"/>
      <c r="C584" s="141"/>
      <c r="D584" s="141"/>
      <c r="E584" s="269" t="s">
        <v>147</v>
      </c>
      <c r="F584" s="188"/>
      <c r="G584" s="269" t="s">
        <v>148</v>
      </c>
      <c r="H584" s="188"/>
      <c r="I584" s="270" t="s">
        <v>149</v>
      </c>
      <c r="J584" s="189"/>
    </row>
    <row r="585" spans="1:10" ht="12.75" customHeight="1">
      <c r="A585" s="227" t="s">
        <v>150</v>
      </c>
      <c r="B585" s="197"/>
      <c r="C585" s="197"/>
      <c r="D585" s="198"/>
      <c r="E585" s="262"/>
      <c r="F585" s="198"/>
      <c r="G585" s="262"/>
      <c r="H585" s="198"/>
      <c r="I585" s="263"/>
      <c r="J585" s="198"/>
    </row>
    <row r="586" spans="1:10" ht="12.75" customHeight="1">
      <c r="A586" s="265" t="s">
        <v>151</v>
      </c>
      <c r="B586" s="197"/>
      <c r="C586" s="197"/>
      <c r="D586" s="198"/>
      <c r="E586" s="260"/>
      <c r="F586" s="198"/>
      <c r="G586" s="261"/>
      <c r="H586" s="198"/>
      <c r="I586" s="264"/>
      <c r="J586" s="198"/>
    </row>
    <row r="587" spans="1:10" ht="12.75" customHeight="1">
      <c r="A587" s="227" t="s">
        <v>152</v>
      </c>
      <c r="B587" s="197"/>
      <c r="C587" s="197"/>
      <c r="D587" s="198"/>
      <c r="E587" s="262"/>
      <c r="F587" s="198"/>
      <c r="G587" s="262"/>
      <c r="H587" s="198"/>
      <c r="I587" s="263"/>
      <c r="J587" s="198"/>
    </row>
    <row r="588" spans="1:10" ht="12.75" customHeight="1">
      <c r="A588" s="265" t="s">
        <v>153</v>
      </c>
      <c r="B588" s="197"/>
      <c r="C588" s="197"/>
      <c r="D588" s="198"/>
      <c r="E588" s="260"/>
      <c r="F588" s="198"/>
      <c r="G588" s="261"/>
      <c r="H588" s="198"/>
      <c r="I588" s="264"/>
      <c r="J588" s="198"/>
    </row>
    <row r="589" spans="1:10" ht="12.75" customHeight="1">
      <c r="A589" s="227" t="s">
        <v>154</v>
      </c>
      <c r="B589" s="197"/>
      <c r="C589" s="197"/>
      <c r="D589" s="198"/>
      <c r="E589" s="262"/>
      <c r="F589" s="198"/>
      <c r="G589" s="262"/>
      <c r="H589" s="198"/>
      <c r="I589" s="263"/>
      <c r="J589" s="198"/>
    </row>
    <row r="590" spans="1:10" ht="12.75" customHeight="1">
      <c r="A590" s="265" t="s">
        <v>155</v>
      </c>
      <c r="B590" s="197"/>
      <c r="C590" s="197"/>
      <c r="D590" s="198"/>
      <c r="E590" s="260"/>
      <c r="F590" s="198"/>
      <c r="G590" s="261"/>
      <c r="H590" s="198"/>
      <c r="I590" s="264"/>
      <c r="J590" s="198"/>
    </row>
    <row r="591" spans="1:10" ht="12.75" customHeight="1">
      <c r="A591" s="227" t="s">
        <v>156</v>
      </c>
      <c r="B591" s="197"/>
      <c r="C591" s="197"/>
      <c r="D591" s="198"/>
      <c r="E591" s="266"/>
      <c r="F591" s="198"/>
      <c r="G591" s="266"/>
      <c r="H591" s="198"/>
      <c r="I591" s="267"/>
      <c r="J591" s="198"/>
    </row>
    <row r="592" spans="1:10" ht="12.75" customHeight="1">
      <c r="A592" s="259"/>
      <c r="B592" s="197"/>
      <c r="C592" s="197"/>
      <c r="D592" s="198"/>
      <c r="E592" s="260"/>
      <c r="F592" s="198"/>
      <c r="G592" s="261"/>
      <c r="H592" s="198"/>
      <c r="I592" s="261"/>
      <c r="J592" s="198"/>
    </row>
    <row r="593" spans="1:10" ht="12.75" customHeight="1">
      <c r="A593" s="259"/>
      <c r="B593" s="197"/>
      <c r="C593" s="197"/>
      <c r="D593" s="198"/>
      <c r="E593" s="260"/>
      <c r="F593" s="198"/>
      <c r="G593" s="261"/>
      <c r="H593" s="198"/>
      <c r="I593" s="261"/>
      <c r="J593" s="198"/>
    </row>
    <row r="594" spans="1:10" ht="12.75" customHeight="1">
      <c r="A594" s="259"/>
      <c r="B594" s="197"/>
      <c r="C594" s="197"/>
      <c r="D594" s="198"/>
      <c r="E594" s="260"/>
      <c r="F594" s="198"/>
      <c r="G594" s="261"/>
      <c r="H594" s="198"/>
      <c r="I594" s="261"/>
      <c r="J594" s="198"/>
    </row>
    <row r="595" spans="1:10" ht="12.75" customHeight="1">
      <c r="A595" s="231" t="s">
        <v>157</v>
      </c>
      <c r="B595" s="197"/>
      <c r="C595" s="197"/>
      <c r="D595" s="198"/>
      <c r="E595" s="256">
        <f>SUM(E585:E594)</f>
        <v>0</v>
      </c>
      <c r="F595" s="198"/>
      <c r="G595" s="256">
        <f>SUM(G585:G594)</f>
        <v>0</v>
      </c>
      <c r="H595" s="198"/>
      <c r="I595" s="256">
        <f>SUM(I585:I594)</f>
        <v>0</v>
      </c>
      <c r="J595" s="198"/>
    </row>
    <row r="596" spans="1:10" ht="12.75" customHeight="1">
      <c r="A596" s="257" t="s">
        <v>158</v>
      </c>
      <c r="B596" s="177"/>
      <c r="C596" s="177"/>
      <c r="D596" s="177"/>
      <c r="E596" s="177"/>
      <c r="F596" s="177"/>
      <c r="G596" s="177"/>
      <c r="H596" s="177"/>
      <c r="I596" s="177"/>
      <c r="J596" s="178"/>
    </row>
    <row r="597" spans="1:10" ht="12.75" customHeight="1">
      <c r="A597" s="258" t="s">
        <v>159</v>
      </c>
      <c r="B597" s="192"/>
      <c r="C597" s="192"/>
      <c r="D597" s="192"/>
      <c r="E597" s="192"/>
      <c r="F597" s="192"/>
      <c r="G597" s="192"/>
      <c r="H597" s="192"/>
      <c r="I597" s="192"/>
      <c r="J597" s="182"/>
    </row>
    <row r="598" spans="1:10" ht="12.75" customHeight="1">
      <c r="A598" s="258" t="s">
        <v>160</v>
      </c>
      <c r="B598" s="192"/>
      <c r="C598" s="192"/>
      <c r="D598" s="192"/>
      <c r="E598" s="192"/>
      <c r="F598" s="192"/>
      <c r="G598" s="192"/>
      <c r="H598" s="192"/>
      <c r="I598" s="192"/>
      <c r="J598" s="182"/>
    </row>
    <row r="599" spans="1:10" ht="12.75" customHeight="1">
      <c r="A599" s="268" t="s">
        <v>161</v>
      </c>
      <c r="B599" s="188"/>
      <c r="C599" s="188"/>
      <c r="D599" s="188"/>
      <c r="E599" s="188"/>
      <c r="F599" s="188"/>
      <c r="G599" s="188"/>
      <c r="H599" s="188"/>
      <c r="I599" s="188"/>
      <c r="J599" s="189"/>
    </row>
    <row r="600" spans="1:10" ht="12.75" customHeight="1">
      <c r="A600" s="207"/>
      <c r="B600" s="177"/>
      <c r="C600" s="177"/>
      <c r="D600" s="177"/>
      <c r="E600" s="177"/>
      <c r="F600" s="177"/>
      <c r="G600" s="177"/>
      <c r="H600" s="177"/>
      <c r="I600" s="177"/>
      <c r="J600" s="178"/>
    </row>
    <row r="601" spans="1:10" ht="12.75" customHeight="1">
      <c r="A601" s="183"/>
      <c r="B601" s="181"/>
      <c r="C601" s="181"/>
      <c r="D601" s="181"/>
      <c r="E601" s="181"/>
      <c r="F601" s="181"/>
      <c r="G601" s="181"/>
      <c r="H601" s="181"/>
      <c r="I601" s="181"/>
      <c r="J601" s="182"/>
    </row>
    <row r="602" spans="1:10" ht="12.75" customHeight="1">
      <c r="A602" s="183"/>
      <c r="B602" s="181"/>
      <c r="C602" s="181"/>
      <c r="D602" s="181"/>
      <c r="E602" s="181"/>
      <c r="F602" s="181"/>
      <c r="G602" s="181"/>
      <c r="H602" s="181"/>
      <c r="I602" s="181"/>
      <c r="J602" s="182"/>
    </row>
    <row r="603" spans="1:10" ht="12.75" customHeight="1">
      <c r="A603" s="183"/>
      <c r="B603" s="181"/>
      <c r="C603" s="181"/>
      <c r="D603" s="181"/>
      <c r="E603" s="181"/>
      <c r="F603" s="181"/>
      <c r="G603" s="181"/>
      <c r="H603" s="181"/>
      <c r="I603" s="181"/>
      <c r="J603" s="182"/>
    </row>
    <row r="604" spans="1:10" ht="12.75" customHeight="1">
      <c r="A604" s="183"/>
      <c r="B604" s="181"/>
      <c r="C604" s="181"/>
      <c r="D604" s="181"/>
      <c r="E604" s="181"/>
      <c r="F604" s="181"/>
      <c r="G604" s="181"/>
      <c r="H604" s="181"/>
      <c r="I604" s="181"/>
      <c r="J604" s="182"/>
    </row>
    <row r="605" spans="1:10" ht="12.75" customHeight="1">
      <c r="A605" s="183"/>
      <c r="B605" s="181"/>
      <c r="C605" s="181"/>
      <c r="D605" s="181"/>
      <c r="E605" s="181"/>
      <c r="F605" s="181"/>
      <c r="G605" s="181"/>
      <c r="H605" s="181"/>
      <c r="I605" s="181"/>
      <c r="J605" s="182"/>
    </row>
    <row r="606" spans="1:10" ht="12.75" customHeight="1">
      <c r="A606" s="183"/>
      <c r="B606" s="181"/>
      <c r="C606" s="181"/>
      <c r="D606" s="181"/>
      <c r="E606" s="181"/>
      <c r="F606" s="181"/>
      <c r="G606" s="181"/>
      <c r="H606" s="181"/>
      <c r="I606" s="181"/>
      <c r="J606" s="182"/>
    </row>
    <row r="607" spans="1:10" ht="12.75" customHeight="1">
      <c r="A607" s="183"/>
      <c r="B607" s="181"/>
      <c r="C607" s="181"/>
      <c r="D607" s="181"/>
      <c r="E607" s="181"/>
      <c r="F607" s="181"/>
      <c r="G607" s="181"/>
      <c r="H607" s="181"/>
      <c r="I607" s="181"/>
      <c r="J607" s="182"/>
    </row>
    <row r="608" spans="1:10" ht="12.75" customHeight="1">
      <c r="A608" s="183"/>
      <c r="B608" s="181"/>
      <c r="C608" s="181"/>
      <c r="D608" s="181"/>
      <c r="E608" s="181"/>
      <c r="F608" s="181"/>
      <c r="G608" s="181"/>
      <c r="H608" s="181"/>
      <c r="I608" s="181"/>
      <c r="J608" s="182"/>
    </row>
    <row r="609" spans="1:10" ht="12.75" customHeight="1">
      <c r="A609" s="183"/>
      <c r="B609" s="181"/>
      <c r="C609" s="181"/>
      <c r="D609" s="181"/>
      <c r="E609" s="181"/>
      <c r="F609" s="181"/>
      <c r="G609" s="181"/>
      <c r="H609" s="181"/>
      <c r="I609" s="181"/>
      <c r="J609" s="182"/>
    </row>
    <row r="610" spans="1:10" ht="12.75" customHeight="1">
      <c r="A610" s="183"/>
      <c r="B610" s="181"/>
      <c r="C610" s="181"/>
      <c r="D610" s="181"/>
      <c r="E610" s="181"/>
      <c r="F610" s="181"/>
      <c r="G610" s="181"/>
      <c r="H610" s="181"/>
      <c r="I610" s="181"/>
      <c r="J610" s="182"/>
    </row>
    <row r="611" spans="1:10" ht="12.75" customHeight="1">
      <c r="A611" s="183"/>
      <c r="B611" s="181"/>
      <c r="C611" s="181"/>
      <c r="D611" s="181"/>
      <c r="E611" s="181"/>
      <c r="F611" s="181"/>
      <c r="G611" s="181"/>
      <c r="H611" s="181"/>
      <c r="I611" s="181"/>
      <c r="J611" s="182"/>
    </row>
    <row r="612" spans="1:10" ht="12.75" customHeight="1">
      <c r="A612" s="183"/>
      <c r="B612" s="181"/>
      <c r="C612" s="181"/>
      <c r="D612" s="181"/>
      <c r="E612" s="181"/>
      <c r="F612" s="181"/>
      <c r="G612" s="181"/>
      <c r="H612" s="181"/>
      <c r="I612" s="181"/>
      <c r="J612" s="182"/>
    </row>
    <row r="613" spans="1:10" ht="12.75" customHeight="1">
      <c r="A613" s="183"/>
      <c r="B613" s="181"/>
      <c r="C613" s="181"/>
      <c r="D613" s="181"/>
      <c r="E613" s="181"/>
      <c r="F613" s="181"/>
      <c r="G613" s="181"/>
      <c r="H613" s="181"/>
      <c r="I613" s="181"/>
      <c r="J613" s="182"/>
    </row>
    <row r="614" spans="1:10" ht="12.75" customHeight="1">
      <c r="A614" s="183"/>
      <c r="B614" s="181"/>
      <c r="C614" s="181"/>
      <c r="D614" s="181"/>
      <c r="E614" s="181"/>
      <c r="F614" s="181"/>
      <c r="G614" s="181"/>
      <c r="H614" s="181"/>
      <c r="I614" s="181"/>
      <c r="J614" s="182"/>
    </row>
    <row r="615" spans="1:10" ht="12.75" customHeight="1">
      <c r="A615" s="183"/>
      <c r="B615" s="181"/>
      <c r="C615" s="181"/>
      <c r="D615" s="181"/>
      <c r="E615" s="181"/>
      <c r="F615" s="181"/>
      <c r="G615" s="181"/>
      <c r="H615" s="181"/>
      <c r="I615" s="181"/>
      <c r="J615" s="182"/>
    </row>
    <row r="616" spans="1:10" ht="12.75" customHeight="1">
      <c r="A616" s="183"/>
      <c r="B616" s="181"/>
      <c r="C616" s="181"/>
      <c r="D616" s="181"/>
      <c r="E616" s="181"/>
      <c r="F616" s="181"/>
      <c r="G616" s="181"/>
      <c r="H616" s="181"/>
      <c r="I616" s="181"/>
      <c r="J616" s="182"/>
    </row>
    <row r="617" spans="1:10" ht="12.75" customHeight="1">
      <c r="A617" s="183"/>
      <c r="B617" s="181"/>
      <c r="C617" s="181"/>
      <c r="D617" s="181"/>
      <c r="E617" s="181"/>
      <c r="F617" s="181"/>
      <c r="G617" s="181"/>
      <c r="H617" s="181"/>
      <c r="I617" s="181"/>
      <c r="J617" s="182"/>
    </row>
    <row r="618" spans="1:10" ht="12.75" customHeight="1">
      <c r="A618" s="183"/>
      <c r="B618" s="181"/>
      <c r="C618" s="181"/>
      <c r="D618" s="181"/>
      <c r="E618" s="181"/>
      <c r="F618" s="181"/>
      <c r="G618" s="181"/>
      <c r="H618" s="181"/>
      <c r="I618" s="181"/>
      <c r="J618" s="182"/>
    </row>
    <row r="619" spans="1:10" ht="12.75" customHeight="1">
      <c r="A619" s="183"/>
      <c r="B619" s="181"/>
      <c r="C619" s="181"/>
      <c r="D619" s="181"/>
      <c r="E619" s="181"/>
      <c r="F619" s="181"/>
      <c r="G619" s="181"/>
      <c r="H619" s="181"/>
      <c r="I619" s="181"/>
      <c r="J619" s="182"/>
    </row>
    <row r="620" spans="1:10" ht="12.75" customHeight="1">
      <c r="A620" s="183"/>
      <c r="B620" s="181"/>
      <c r="C620" s="181"/>
      <c r="D620" s="181"/>
      <c r="E620" s="181"/>
      <c r="F620" s="181"/>
      <c r="G620" s="181"/>
      <c r="H620" s="181"/>
      <c r="I620" s="181"/>
      <c r="J620" s="182"/>
    </row>
    <row r="621" spans="1:10" ht="12.75" customHeight="1">
      <c r="A621" s="183"/>
      <c r="B621" s="181"/>
      <c r="C621" s="181"/>
      <c r="D621" s="181"/>
      <c r="E621" s="181"/>
      <c r="F621" s="181"/>
      <c r="G621" s="181"/>
      <c r="H621" s="181"/>
      <c r="I621" s="181"/>
      <c r="J621" s="182"/>
    </row>
    <row r="622" spans="1:10" ht="12.75" customHeight="1">
      <c r="A622" s="183"/>
      <c r="B622" s="181"/>
      <c r="C622" s="181"/>
      <c r="D622" s="181"/>
      <c r="E622" s="181"/>
      <c r="F622" s="181"/>
      <c r="G622" s="181"/>
      <c r="H622" s="181"/>
      <c r="I622" s="181"/>
      <c r="J622" s="182"/>
    </row>
    <row r="623" spans="1:10" ht="12.75" customHeight="1">
      <c r="A623" s="183"/>
      <c r="B623" s="181"/>
      <c r="C623" s="181"/>
      <c r="D623" s="181"/>
      <c r="E623" s="181"/>
      <c r="F623" s="181"/>
      <c r="G623" s="181"/>
      <c r="H623" s="181"/>
      <c r="I623" s="181"/>
      <c r="J623" s="182"/>
    </row>
    <row r="624" spans="1:10" ht="12.75" customHeight="1">
      <c r="A624" s="183"/>
      <c r="B624" s="181"/>
      <c r="C624" s="181"/>
      <c r="D624" s="181"/>
      <c r="E624" s="181"/>
      <c r="F624" s="181"/>
      <c r="G624" s="181"/>
      <c r="H624" s="181"/>
      <c r="I624" s="181"/>
      <c r="J624" s="182"/>
    </row>
    <row r="625" spans="1:10" ht="12.75" customHeight="1">
      <c r="A625" s="183"/>
      <c r="B625" s="181"/>
      <c r="C625" s="181"/>
      <c r="D625" s="181"/>
      <c r="E625" s="181"/>
      <c r="F625" s="181"/>
      <c r="G625" s="181"/>
      <c r="H625" s="181"/>
      <c r="I625" s="181"/>
      <c r="J625" s="182"/>
    </row>
    <row r="626" spans="1:10" ht="12.75" customHeight="1">
      <c r="A626" s="183"/>
      <c r="B626" s="181"/>
      <c r="C626" s="181"/>
      <c r="D626" s="181"/>
      <c r="E626" s="181"/>
      <c r="F626" s="181"/>
      <c r="G626" s="181"/>
      <c r="H626" s="181"/>
      <c r="I626" s="181"/>
      <c r="J626" s="182"/>
    </row>
    <row r="627" spans="1:10" ht="12.75" customHeight="1">
      <c r="A627" s="183"/>
      <c r="B627" s="181"/>
      <c r="C627" s="181"/>
      <c r="D627" s="181"/>
      <c r="E627" s="181"/>
      <c r="F627" s="181"/>
      <c r="G627" s="181"/>
      <c r="H627" s="181"/>
      <c r="I627" s="181"/>
      <c r="J627" s="182"/>
    </row>
    <row r="628" spans="1:10" ht="12.75" customHeight="1">
      <c r="A628" s="183"/>
      <c r="B628" s="181"/>
      <c r="C628" s="181"/>
      <c r="D628" s="181"/>
      <c r="E628" s="181"/>
      <c r="F628" s="181"/>
      <c r="G628" s="181"/>
      <c r="H628" s="181"/>
      <c r="I628" s="181"/>
      <c r="J628" s="182"/>
    </row>
    <row r="629" spans="1:10" ht="12.75" customHeight="1">
      <c r="A629" s="183"/>
      <c r="B629" s="181"/>
      <c r="C629" s="181"/>
      <c r="D629" s="181"/>
      <c r="E629" s="181"/>
      <c r="F629" s="181"/>
      <c r="G629" s="181"/>
      <c r="H629" s="181"/>
      <c r="I629" s="181"/>
      <c r="J629" s="182"/>
    </row>
    <row r="630" spans="1:10" ht="12.75" customHeight="1">
      <c r="A630" s="183"/>
      <c r="B630" s="181"/>
      <c r="C630" s="181"/>
      <c r="D630" s="181"/>
      <c r="E630" s="181"/>
      <c r="F630" s="181"/>
      <c r="G630" s="181"/>
      <c r="H630" s="181"/>
      <c r="I630" s="181"/>
      <c r="J630" s="182"/>
    </row>
    <row r="631" spans="1:10" ht="12.75" customHeight="1">
      <c r="A631" s="183"/>
      <c r="B631" s="181"/>
      <c r="C631" s="181"/>
      <c r="D631" s="181"/>
      <c r="E631" s="181"/>
      <c r="F631" s="181"/>
      <c r="G631" s="181"/>
      <c r="H631" s="181"/>
      <c r="I631" s="181"/>
      <c r="J631" s="182"/>
    </row>
    <row r="632" spans="1:10" ht="12.75" customHeight="1">
      <c r="A632" s="183"/>
      <c r="B632" s="181"/>
      <c r="C632" s="181"/>
      <c r="D632" s="181"/>
      <c r="E632" s="181"/>
      <c r="F632" s="181"/>
      <c r="G632" s="181"/>
      <c r="H632" s="181"/>
      <c r="I632" s="181"/>
      <c r="J632" s="182"/>
    </row>
    <row r="633" spans="1:10" ht="12.75" customHeight="1">
      <c r="A633" s="183"/>
      <c r="B633" s="181"/>
      <c r="C633" s="181"/>
      <c r="D633" s="181"/>
      <c r="E633" s="181"/>
      <c r="F633" s="181"/>
      <c r="G633" s="181"/>
      <c r="H633" s="181"/>
      <c r="I633" s="181"/>
      <c r="J633" s="182"/>
    </row>
    <row r="634" spans="1:10" ht="12.75" customHeight="1">
      <c r="A634" s="201"/>
      <c r="B634" s="188"/>
      <c r="C634" s="188"/>
      <c r="D634" s="188"/>
      <c r="E634" s="188"/>
      <c r="F634" s="188"/>
      <c r="G634" s="188"/>
      <c r="H634" s="188"/>
      <c r="I634" s="188"/>
      <c r="J634" s="189"/>
    </row>
    <row r="635" spans="1:10" ht="12.75" customHeight="1"/>
    <row r="636" spans="1:10" ht="12.75" customHeight="1">
      <c r="A636" s="240" t="s">
        <v>69</v>
      </c>
      <c r="B636" s="197"/>
      <c r="C636" s="197"/>
      <c r="D636" s="197"/>
      <c r="E636" s="197"/>
      <c r="F636" s="197"/>
      <c r="G636" s="197"/>
      <c r="H636" s="241" t="str">
        <f>'CONTACT INFORMATION'!$A$24</f>
        <v>San Francisco</v>
      </c>
      <c r="I636" s="197"/>
      <c r="J636" s="198"/>
    </row>
    <row r="637" spans="1:10" ht="7.5" customHeight="1">
      <c r="A637" s="142"/>
      <c r="B637" s="142"/>
      <c r="C637" s="142"/>
      <c r="D637" s="142"/>
      <c r="E637" s="142"/>
      <c r="F637" s="142"/>
      <c r="G637" s="142"/>
      <c r="H637" s="142"/>
      <c r="I637" s="142"/>
      <c r="J637" s="142"/>
    </row>
    <row r="638" spans="1:10" ht="12.75" customHeight="1">
      <c r="A638" s="271" t="s">
        <v>179</v>
      </c>
      <c r="B638" s="197"/>
      <c r="C638" s="197"/>
      <c r="D638" s="197"/>
      <c r="E638" s="197"/>
      <c r="F638" s="197"/>
      <c r="G638" s="197"/>
      <c r="H638" s="197"/>
      <c r="I638" s="197"/>
      <c r="J638" s="198"/>
    </row>
    <row r="639" spans="1:10" ht="12.75" customHeight="1">
      <c r="A639" s="273" t="s">
        <v>144</v>
      </c>
      <c r="B639" s="177"/>
      <c r="C639" s="177"/>
      <c r="D639" s="178"/>
      <c r="E639" s="272"/>
      <c r="F639" s="177"/>
      <c r="G639" s="177"/>
      <c r="H639" s="177"/>
      <c r="I639" s="177"/>
      <c r="J639" s="178"/>
    </row>
    <row r="640" spans="1:10" ht="12.75" customHeight="1">
      <c r="A640" s="274" t="s">
        <v>171</v>
      </c>
      <c r="B640" s="188"/>
      <c r="C640" s="188"/>
      <c r="D640" s="189"/>
      <c r="E640" s="201"/>
      <c r="F640" s="188"/>
      <c r="G640" s="188"/>
      <c r="H640" s="188"/>
      <c r="I640" s="188"/>
      <c r="J640" s="189"/>
    </row>
    <row r="641" spans="1:10" ht="12.75" customHeight="1">
      <c r="A641" s="275" t="s">
        <v>172</v>
      </c>
      <c r="B641" s="197"/>
      <c r="C641" s="197"/>
      <c r="D641" s="198"/>
      <c r="E641" s="230"/>
      <c r="F641" s="197"/>
      <c r="G641" s="197"/>
      <c r="H641" s="197"/>
      <c r="I641" s="197"/>
      <c r="J641" s="198"/>
    </row>
    <row r="642" spans="1:10" ht="27" customHeight="1">
      <c r="A642" s="143"/>
      <c r="B642" s="141"/>
      <c r="C642" s="141"/>
      <c r="D642" s="141"/>
      <c r="E642" s="269" t="s">
        <v>147</v>
      </c>
      <c r="F642" s="188"/>
      <c r="G642" s="269" t="s">
        <v>148</v>
      </c>
      <c r="H642" s="188"/>
      <c r="I642" s="270" t="s">
        <v>149</v>
      </c>
      <c r="J642" s="189"/>
    </row>
    <row r="643" spans="1:10" ht="12.75" customHeight="1">
      <c r="A643" s="227" t="s">
        <v>150</v>
      </c>
      <c r="B643" s="197"/>
      <c r="C643" s="197"/>
      <c r="D643" s="198"/>
      <c r="E643" s="262"/>
      <c r="F643" s="198"/>
      <c r="G643" s="262"/>
      <c r="H643" s="198"/>
      <c r="I643" s="263"/>
      <c r="J643" s="198"/>
    </row>
    <row r="644" spans="1:10" ht="12.75" customHeight="1">
      <c r="A644" s="265" t="s">
        <v>151</v>
      </c>
      <c r="B644" s="197"/>
      <c r="C644" s="197"/>
      <c r="D644" s="198"/>
      <c r="E644" s="260"/>
      <c r="F644" s="198"/>
      <c r="G644" s="261"/>
      <c r="H644" s="198"/>
      <c r="I644" s="264"/>
      <c r="J644" s="198"/>
    </row>
    <row r="645" spans="1:10" ht="12.75" customHeight="1">
      <c r="A645" s="227" t="s">
        <v>152</v>
      </c>
      <c r="B645" s="197"/>
      <c r="C645" s="197"/>
      <c r="D645" s="198"/>
      <c r="E645" s="262"/>
      <c r="F645" s="198"/>
      <c r="G645" s="262"/>
      <c r="H645" s="198"/>
      <c r="I645" s="263"/>
      <c r="J645" s="198"/>
    </row>
    <row r="646" spans="1:10" ht="12.75" customHeight="1">
      <c r="A646" s="265" t="s">
        <v>153</v>
      </c>
      <c r="B646" s="197"/>
      <c r="C646" s="197"/>
      <c r="D646" s="198"/>
      <c r="E646" s="260"/>
      <c r="F646" s="198"/>
      <c r="G646" s="261"/>
      <c r="H646" s="198"/>
      <c r="I646" s="264"/>
      <c r="J646" s="198"/>
    </row>
    <row r="647" spans="1:10" ht="12.75" customHeight="1">
      <c r="A647" s="227" t="s">
        <v>154</v>
      </c>
      <c r="B647" s="197"/>
      <c r="C647" s="197"/>
      <c r="D647" s="198"/>
      <c r="E647" s="262"/>
      <c r="F647" s="198"/>
      <c r="G647" s="262"/>
      <c r="H647" s="198"/>
      <c r="I647" s="263"/>
      <c r="J647" s="198"/>
    </row>
    <row r="648" spans="1:10" ht="12.75" customHeight="1">
      <c r="A648" s="265" t="s">
        <v>155</v>
      </c>
      <c r="B648" s="197"/>
      <c r="C648" s="197"/>
      <c r="D648" s="198"/>
      <c r="E648" s="260"/>
      <c r="F648" s="198"/>
      <c r="G648" s="261"/>
      <c r="H648" s="198"/>
      <c r="I648" s="264"/>
      <c r="J648" s="198"/>
    </row>
    <row r="649" spans="1:10" ht="12.75" customHeight="1">
      <c r="A649" s="227" t="s">
        <v>156</v>
      </c>
      <c r="B649" s="197"/>
      <c r="C649" s="197"/>
      <c r="D649" s="198"/>
      <c r="E649" s="266"/>
      <c r="F649" s="198"/>
      <c r="G649" s="266"/>
      <c r="H649" s="198"/>
      <c r="I649" s="267"/>
      <c r="J649" s="198"/>
    </row>
    <row r="650" spans="1:10" ht="12.75" customHeight="1">
      <c r="A650" s="259"/>
      <c r="B650" s="197"/>
      <c r="C650" s="197"/>
      <c r="D650" s="198"/>
      <c r="E650" s="260"/>
      <c r="F650" s="198"/>
      <c r="G650" s="261"/>
      <c r="H650" s="198"/>
      <c r="I650" s="261"/>
      <c r="J650" s="198"/>
    </row>
    <row r="651" spans="1:10" ht="12.75" customHeight="1">
      <c r="A651" s="259"/>
      <c r="B651" s="197"/>
      <c r="C651" s="197"/>
      <c r="D651" s="198"/>
      <c r="E651" s="260"/>
      <c r="F651" s="198"/>
      <c r="G651" s="261"/>
      <c r="H651" s="198"/>
      <c r="I651" s="261"/>
      <c r="J651" s="198"/>
    </row>
    <row r="652" spans="1:10" ht="12.75" customHeight="1">
      <c r="A652" s="259"/>
      <c r="B652" s="197"/>
      <c r="C652" s="197"/>
      <c r="D652" s="198"/>
      <c r="E652" s="260"/>
      <c r="F652" s="198"/>
      <c r="G652" s="261"/>
      <c r="H652" s="198"/>
      <c r="I652" s="261"/>
      <c r="J652" s="198"/>
    </row>
    <row r="653" spans="1:10" ht="12.75" customHeight="1">
      <c r="A653" s="231" t="s">
        <v>157</v>
      </c>
      <c r="B653" s="197"/>
      <c r="C653" s="197"/>
      <c r="D653" s="198"/>
      <c r="E653" s="256">
        <f>SUM(E643:E652)</f>
        <v>0</v>
      </c>
      <c r="F653" s="198"/>
      <c r="G653" s="256">
        <f>SUM(G643:G652)</f>
        <v>0</v>
      </c>
      <c r="H653" s="198"/>
      <c r="I653" s="256">
        <f>SUM(I643:I652)</f>
        <v>0</v>
      </c>
      <c r="J653" s="198"/>
    </row>
    <row r="654" spans="1:10" ht="12.75" customHeight="1">
      <c r="A654" s="257" t="s">
        <v>158</v>
      </c>
      <c r="B654" s="177"/>
      <c r="C654" s="177"/>
      <c r="D654" s="177"/>
      <c r="E654" s="177"/>
      <c r="F654" s="177"/>
      <c r="G654" s="177"/>
      <c r="H654" s="177"/>
      <c r="I654" s="177"/>
      <c r="J654" s="178"/>
    </row>
    <row r="655" spans="1:10" ht="12.75" customHeight="1">
      <c r="A655" s="258" t="s">
        <v>159</v>
      </c>
      <c r="B655" s="192"/>
      <c r="C655" s="192"/>
      <c r="D655" s="192"/>
      <c r="E655" s="192"/>
      <c r="F655" s="192"/>
      <c r="G655" s="192"/>
      <c r="H655" s="192"/>
      <c r="I655" s="192"/>
      <c r="J655" s="182"/>
    </row>
    <row r="656" spans="1:10" ht="12.75" customHeight="1">
      <c r="A656" s="258" t="s">
        <v>160</v>
      </c>
      <c r="B656" s="192"/>
      <c r="C656" s="192"/>
      <c r="D656" s="192"/>
      <c r="E656" s="192"/>
      <c r="F656" s="192"/>
      <c r="G656" s="192"/>
      <c r="H656" s="192"/>
      <c r="I656" s="192"/>
      <c r="J656" s="182"/>
    </row>
    <row r="657" spans="1:10" ht="12.75" customHeight="1">
      <c r="A657" s="268" t="s">
        <v>161</v>
      </c>
      <c r="B657" s="188"/>
      <c r="C657" s="188"/>
      <c r="D657" s="188"/>
      <c r="E657" s="188"/>
      <c r="F657" s="188"/>
      <c r="G657" s="188"/>
      <c r="H657" s="188"/>
      <c r="I657" s="188"/>
      <c r="J657" s="189"/>
    </row>
    <row r="658" spans="1:10" ht="12.75" customHeight="1">
      <c r="A658" s="207"/>
      <c r="B658" s="177"/>
      <c r="C658" s="177"/>
      <c r="D658" s="177"/>
      <c r="E658" s="177"/>
      <c r="F658" s="177"/>
      <c r="G658" s="177"/>
      <c r="H658" s="177"/>
      <c r="I658" s="177"/>
      <c r="J658" s="178"/>
    </row>
    <row r="659" spans="1:10" ht="12.75" customHeight="1">
      <c r="A659" s="183"/>
      <c r="B659" s="181"/>
      <c r="C659" s="181"/>
      <c r="D659" s="181"/>
      <c r="E659" s="181"/>
      <c r="F659" s="181"/>
      <c r="G659" s="181"/>
      <c r="H659" s="181"/>
      <c r="I659" s="181"/>
      <c r="J659" s="182"/>
    </row>
    <row r="660" spans="1:10" ht="12.75" customHeight="1">
      <c r="A660" s="183"/>
      <c r="B660" s="181"/>
      <c r="C660" s="181"/>
      <c r="D660" s="181"/>
      <c r="E660" s="181"/>
      <c r="F660" s="181"/>
      <c r="G660" s="181"/>
      <c r="H660" s="181"/>
      <c r="I660" s="181"/>
      <c r="J660" s="182"/>
    </row>
    <row r="661" spans="1:10" ht="12.75" customHeight="1">
      <c r="A661" s="183"/>
      <c r="B661" s="181"/>
      <c r="C661" s="181"/>
      <c r="D661" s="181"/>
      <c r="E661" s="181"/>
      <c r="F661" s="181"/>
      <c r="G661" s="181"/>
      <c r="H661" s="181"/>
      <c r="I661" s="181"/>
      <c r="J661" s="182"/>
    </row>
    <row r="662" spans="1:10" ht="12.75" customHeight="1">
      <c r="A662" s="183"/>
      <c r="B662" s="181"/>
      <c r="C662" s="181"/>
      <c r="D662" s="181"/>
      <c r="E662" s="181"/>
      <c r="F662" s="181"/>
      <c r="G662" s="181"/>
      <c r="H662" s="181"/>
      <c r="I662" s="181"/>
      <c r="J662" s="182"/>
    </row>
    <row r="663" spans="1:10" ht="12.75" customHeight="1">
      <c r="A663" s="183"/>
      <c r="B663" s="181"/>
      <c r="C663" s="181"/>
      <c r="D663" s="181"/>
      <c r="E663" s="181"/>
      <c r="F663" s="181"/>
      <c r="G663" s="181"/>
      <c r="H663" s="181"/>
      <c r="I663" s="181"/>
      <c r="J663" s="182"/>
    </row>
    <row r="664" spans="1:10" ht="12.75" customHeight="1">
      <c r="A664" s="183"/>
      <c r="B664" s="181"/>
      <c r="C664" s="181"/>
      <c r="D664" s="181"/>
      <c r="E664" s="181"/>
      <c r="F664" s="181"/>
      <c r="G664" s="181"/>
      <c r="H664" s="181"/>
      <c r="I664" s="181"/>
      <c r="J664" s="182"/>
    </row>
    <row r="665" spans="1:10" ht="12.75" customHeight="1">
      <c r="A665" s="183"/>
      <c r="B665" s="181"/>
      <c r="C665" s="181"/>
      <c r="D665" s="181"/>
      <c r="E665" s="181"/>
      <c r="F665" s="181"/>
      <c r="G665" s="181"/>
      <c r="H665" s="181"/>
      <c r="I665" s="181"/>
      <c r="J665" s="182"/>
    </row>
    <row r="666" spans="1:10" ht="12.75" customHeight="1">
      <c r="A666" s="183"/>
      <c r="B666" s="181"/>
      <c r="C666" s="181"/>
      <c r="D666" s="181"/>
      <c r="E666" s="181"/>
      <c r="F666" s="181"/>
      <c r="G666" s="181"/>
      <c r="H666" s="181"/>
      <c r="I666" s="181"/>
      <c r="J666" s="182"/>
    </row>
    <row r="667" spans="1:10" ht="12.75" customHeight="1">
      <c r="A667" s="183"/>
      <c r="B667" s="181"/>
      <c r="C667" s="181"/>
      <c r="D667" s="181"/>
      <c r="E667" s="181"/>
      <c r="F667" s="181"/>
      <c r="G667" s="181"/>
      <c r="H667" s="181"/>
      <c r="I667" s="181"/>
      <c r="J667" s="182"/>
    </row>
    <row r="668" spans="1:10" ht="12.75" customHeight="1">
      <c r="A668" s="183"/>
      <c r="B668" s="181"/>
      <c r="C668" s="181"/>
      <c r="D668" s="181"/>
      <c r="E668" s="181"/>
      <c r="F668" s="181"/>
      <c r="G668" s="181"/>
      <c r="H668" s="181"/>
      <c r="I668" s="181"/>
      <c r="J668" s="182"/>
    </row>
    <row r="669" spans="1:10" ht="12.75" customHeight="1">
      <c r="A669" s="183"/>
      <c r="B669" s="181"/>
      <c r="C669" s="181"/>
      <c r="D669" s="181"/>
      <c r="E669" s="181"/>
      <c r="F669" s="181"/>
      <c r="G669" s="181"/>
      <c r="H669" s="181"/>
      <c r="I669" s="181"/>
      <c r="J669" s="182"/>
    </row>
    <row r="670" spans="1:10" ht="12.75" customHeight="1">
      <c r="A670" s="183"/>
      <c r="B670" s="181"/>
      <c r="C670" s="181"/>
      <c r="D670" s="181"/>
      <c r="E670" s="181"/>
      <c r="F670" s="181"/>
      <c r="G670" s="181"/>
      <c r="H670" s="181"/>
      <c r="I670" s="181"/>
      <c r="J670" s="182"/>
    </row>
    <row r="671" spans="1:10" ht="12.75" customHeight="1">
      <c r="A671" s="183"/>
      <c r="B671" s="181"/>
      <c r="C671" s="181"/>
      <c r="D671" s="181"/>
      <c r="E671" s="181"/>
      <c r="F671" s="181"/>
      <c r="G671" s="181"/>
      <c r="H671" s="181"/>
      <c r="I671" s="181"/>
      <c r="J671" s="182"/>
    </row>
    <row r="672" spans="1:10" ht="12.75" customHeight="1">
      <c r="A672" s="183"/>
      <c r="B672" s="181"/>
      <c r="C672" s="181"/>
      <c r="D672" s="181"/>
      <c r="E672" s="181"/>
      <c r="F672" s="181"/>
      <c r="G672" s="181"/>
      <c r="H672" s="181"/>
      <c r="I672" s="181"/>
      <c r="J672" s="182"/>
    </row>
    <row r="673" spans="1:10" ht="12.75" customHeight="1">
      <c r="A673" s="183"/>
      <c r="B673" s="181"/>
      <c r="C673" s="181"/>
      <c r="D673" s="181"/>
      <c r="E673" s="181"/>
      <c r="F673" s="181"/>
      <c r="G673" s="181"/>
      <c r="H673" s="181"/>
      <c r="I673" s="181"/>
      <c r="J673" s="182"/>
    </row>
    <row r="674" spans="1:10" ht="12.75" customHeight="1">
      <c r="A674" s="183"/>
      <c r="B674" s="181"/>
      <c r="C674" s="181"/>
      <c r="D674" s="181"/>
      <c r="E674" s="181"/>
      <c r="F674" s="181"/>
      <c r="G674" s="181"/>
      <c r="H674" s="181"/>
      <c r="I674" s="181"/>
      <c r="J674" s="182"/>
    </row>
    <row r="675" spans="1:10" ht="12.75" customHeight="1">
      <c r="A675" s="183"/>
      <c r="B675" s="181"/>
      <c r="C675" s="181"/>
      <c r="D675" s="181"/>
      <c r="E675" s="181"/>
      <c r="F675" s="181"/>
      <c r="G675" s="181"/>
      <c r="H675" s="181"/>
      <c r="I675" s="181"/>
      <c r="J675" s="182"/>
    </row>
    <row r="676" spans="1:10" ht="12.75" customHeight="1">
      <c r="A676" s="183"/>
      <c r="B676" s="181"/>
      <c r="C676" s="181"/>
      <c r="D676" s="181"/>
      <c r="E676" s="181"/>
      <c r="F676" s="181"/>
      <c r="G676" s="181"/>
      <c r="H676" s="181"/>
      <c r="I676" s="181"/>
      <c r="J676" s="182"/>
    </row>
    <row r="677" spans="1:10" ht="12.75" customHeight="1">
      <c r="A677" s="183"/>
      <c r="B677" s="181"/>
      <c r="C677" s="181"/>
      <c r="D677" s="181"/>
      <c r="E677" s="181"/>
      <c r="F677" s="181"/>
      <c r="G677" s="181"/>
      <c r="H677" s="181"/>
      <c r="I677" s="181"/>
      <c r="J677" s="182"/>
    </row>
    <row r="678" spans="1:10" ht="12.75" customHeight="1">
      <c r="A678" s="183"/>
      <c r="B678" s="181"/>
      <c r="C678" s="181"/>
      <c r="D678" s="181"/>
      <c r="E678" s="181"/>
      <c r="F678" s="181"/>
      <c r="G678" s="181"/>
      <c r="H678" s="181"/>
      <c r="I678" s="181"/>
      <c r="J678" s="182"/>
    </row>
    <row r="679" spans="1:10" ht="12.75" customHeight="1">
      <c r="A679" s="183"/>
      <c r="B679" s="181"/>
      <c r="C679" s="181"/>
      <c r="D679" s="181"/>
      <c r="E679" s="181"/>
      <c r="F679" s="181"/>
      <c r="G679" s="181"/>
      <c r="H679" s="181"/>
      <c r="I679" s="181"/>
      <c r="J679" s="182"/>
    </row>
    <row r="680" spans="1:10" ht="12.75" customHeight="1">
      <c r="A680" s="183"/>
      <c r="B680" s="181"/>
      <c r="C680" s="181"/>
      <c r="D680" s="181"/>
      <c r="E680" s="181"/>
      <c r="F680" s="181"/>
      <c r="G680" s="181"/>
      <c r="H680" s="181"/>
      <c r="I680" s="181"/>
      <c r="J680" s="182"/>
    </row>
    <row r="681" spans="1:10" ht="12.75" customHeight="1">
      <c r="A681" s="183"/>
      <c r="B681" s="181"/>
      <c r="C681" s="181"/>
      <c r="D681" s="181"/>
      <c r="E681" s="181"/>
      <c r="F681" s="181"/>
      <c r="G681" s="181"/>
      <c r="H681" s="181"/>
      <c r="I681" s="181"/>
      <c r="J681" s="182"/>
    </row>
    <row r="682" spans="1:10" ht="12.75" customHeight="1">
      <c r="A682" s="183"/>
      <c r="B682" s="181"/>
      <c r="C682" s="181"/>
      <c r="D682" s="181"/>
      <c r="E682" s="181"/>
      <c r="F682" s="181"/>
      <c r="G682" s="181"/>
      <c r="H682" s="181"/>
      <c r="I682" s="181"/>
      <c r="J682" s="182"/>
    </row>
    <row r="683" spans="1:10" ht="12.75" customHeight="1">
      <c r="A683" s="183"/>
      <c r="B683" s="181"/>
      <c r="C683" s="181"/>
      <c r="D683" s="181"/>
      <c r="E683" s="181"/>
      <c r="F683" s="181"/>
      <c r="G683" s="181"/>
      <c r="H683" s="181"/>
      <c r="I683" s="181"/>
      <c r="J683" s="182"/>
    </row>
    <row r="684" spans="1:10" ht="12.75" customHeight="1">
      <c r="A684" s="183"/>
      <c r="B684" s="181"/>
      <c r="C684" s="181"/>
      <c r="D684" s="181"/>
      <c r="E684" s="181"/>
      <c r="F684" s="181"/>
      <c r="G684" s="181"/>
      <c r="H684" s="181"/>
      <c r="I684" s="181"/>
      <c r="J684" s="182"/>
    </row>
    <row r="685" spans="1:10" ht="12.75" customHeight="1">
      <c r="A685" s="183"/>
      <c r="B685" s="181"/>
      <c r="C685" s="181"/>
      <c r="D685" s="181"/>
      <c r="E685" s="181"/>
      <c r="F685" s="181"/>
      <c r="G685" s="181"/>
      <c r="H685" s="181"/>
      <c r="I685" s="181"/>
      <c r="J685" s="182"/>
    </row>
    <row r="686" spans="1:10" ht="12.75" customHeight="1">
      <c r="A686" s="183"/>
      <c r="B686" s="181"/>
      <c r="C686" s="181"/>
      <c r="D686" s="181"/>
      <c r="E686" s="181"/>
      <c r="F686" s="181"/>
      <c r="G686" s="181"/>
      <c r="H686" s="181"/>
      <c r="I686" s="181"/>
      <c r="J686" s="182"/>
    </row>
    <row r="687" spans="1:10" ht="12.75" customHeight="1">
      <c r="A687" s="183"/>
      <c r="B687" s="181"/>
      <c r="C687" s="181"/>
      <c r="D687" s="181"/>
      <c r="E687" s="181"/>
      <c r="F687" s="181"/>
      <c r="G687" s="181"/>
      <c r="H687" s="181"/>
      <c r="I687" s="181"/>
      <c r="J687" s="182"/>
    </row>
    <row r="688" spans="1:10" ht="12.75" customHeight="1">
      <c r="A688" s="183"/>
      <c r="B688" s="181"/>
      <c r="C688" s="181"/>
      <c r="D688" s="181"/>
      <c r="E688" s="181"/>
      <c r="F688" s="181"/>
      <c r="G688" s="181"/>
      <c r="H688" s="181"/>
      <c r="I688" s="181"/>
      <c r="J688" s="182"/>
    </row>
    <row r="689" spans="1:10" ht="12.75" customHeight="1">
      <c r="A689" s="183"/>
      <c r="B689" s="181"/>
      <c r="C689" s="181"/>
      <c r="D689" s="181"/>
      <c r="E689" s="181"/>
      <c r="F689" s="181"/>
      <c r="G689" s="181"/>
      <c r="H689" s="181"/>
      <c r="I689" s="181"/>
      <c r="J689" s="182"/>
    </row>
    <row r="690" spans="1:10" ht="12.75" customHeight="1">
      <c r="A690" s="183"/>
      <c r="B690" s="181"/>
      <c r="C690" s="181"/>
      <c r="D690" s="181"/>
      <c r="E690" s="181"/>
      <c r="F690" s="181"/>
      <c r="G690" s="181"/>
      <c r="H690" s="181"/>
      <c r="I690" s="181"/>
      <c r="J690" s="182"/>
    </row>
    <row r="691" spans="1:10" ht="12.75" customHeight="1">
      <c r="A691" s="183"/>
      <c r="B691" s="181"/>
      <c r="C691" s="181"/>
      <c r="D691" s="181"/>
      <c r="E691" s="181"/>
      <c r="F691" s="181"/>
      <c r="G691" s="181"/>
      <c r="H691" s="181"/>
      <c r="I691" s="181"/>
      <c r="J691" s="182"/>
    </row>
    <row r="692" spans="1:10" ht="12.75" customHeight="1">
      <c r="A692" s="201"/>
      <c r="B692" s="188"/>
      <c r="C692" s="188"/>
      <c r="D692" s="188"/>
      <c r="E692" s="188"/>
      <c r="F692" s="188"/>
      <c r="G692" s="188"/>
      <c r="H692" s="188"/>
      <c r="I692" s="188"/>
      <c r="J692" s="189"/>
    </row>
    <row r="693" spans="1:10" ht="12.75" customHeight="1"/>
    <row r="694" spans="1:10" ht="12.75" customHeight="1">
      <c r="A694" s="240" t="s">
        <v>69</v>
      </c>
      <c r="B694" s="197"/>
      <c r="C694" s="197"/>
      <c r="D694" s="197"/>
      <c r="E694" s="197"/>
      <c r="F694" s="197"/>
      <c r="G694" s="197"/>
      <c r="H694" s="241" t="str">
        <f>'CONTACT INFORMATION'!$A$24</f>
        <v>San Francisco</v>
      </c>
      <c r="I694" s="197"/>
      <c r="J694" s="198"/>
    </row>
    <row r="695" spans="1:10" ht="7.5" customHeight="1">
      <c r="A695" s="142"/>
      <c r="B695" s="142"/>
      <c r="C695" s="142"/>
      <c r="D695" s="142"/>
      <c r="E695" s="142"/>
      <c r="F695" s="142"/>
      <c r="G695" s="142"/>
      <c r="H695" s="142"/>
      <c r="I695" s="142"/>
      <c r="J695" s="142"/>
    </row>
    <row r="696" spans="1:10" ht="12.75" customHeight="1">
      <c r="A696" s="271" t="s">
        <v>180</v>
      </c>
      <c r="B696" s="197"/>
      <c r="C696" s="197"/>
      <c r="D696" s="197"/>
      <c r="E696" s="197"/>
      <c r="F696" s="197"/>
      <c r="G696" s="197"/>
      <c r="H696" s="197"/>
      <c r="I696" s="197"/>
      <c r="J696" s="198"/>
    </row>
    <row r="697" spans="1:10" ht="12.75" customHeight="1">
      <c r="A697" s="273" t="s">
        <v>144</v>
      </c>
      <c r="B697" s="177"/>
      <c r="C697" s="177"/>
      <c r="D697" s="178"/>
      <c r="E697" s="272"/>
      <c r="F697" s="177"/>
      <c r="G697" s="177"/>
      <c r="H697" s="177"/>
      <c r="I697" s="177"/>
      <c r="J697" s="178"/>
    </row>
    <row r="698" spans="1:10" ht="12.75" customHeight="1">
      <c r="A698" s="274" t="s">
        <v>171</v>
      </c>
      <c r="B698" s="188"/>
      <c r="C698" s="188"/>
      <c r="D698" s="189"/>
      <c r="E698" s="201"/>
      <c r="F698" s="188"/>
      <c r="G698" s="188"/>
      <c r="H698" s="188"/>
      <c r="I698" s="188"/>
      <c r="J698" s="189"/>
    </row>
    <row r="699" spans="1:10" ht="12.75" customHeight="1">
      <c r="A699" s="275" t="s">
        <v>172</v>
      </c>
      <c r="B699" s="197"/>
      <c r="C699" s="197"/>
      <c r="D699" s="198"/>
      <c r="E699" s="230"/>
      <c r="F699" s="197"/>
      <c r="G699" s="197"/>
      <c r="H699" s="197"/>
      <c r="I699" s="197"/>
      <c r="J699" s="198"/>
    </row>
    <row r="700" spans="1:10" ht="27" customHeight="1">
      <c r="A700" s="143"/>
      <c r="B700" s="141"/>
      <c r="C700" s="141"/>
      <c r="D700" s="141"/>
      <c r="E700" s="269" t="s">
        <v>147</v>
      </c>
      <c r="F700" s="188"/>
      <c r="G700" s="269" t="s">
        <v>148</v>
      </c>
      <c r="H700" s="188"/>
      <c r="I700" s="270" t="s">
        <v>149</v>
      </c>
      <c r="J700" s="189"/>
    </row>
    <row r="701" spans="1:10" ht="12.75" customHeight="1">
      <c r="A701" s="227" t="s">
        <v>150</v>
      </c>
      <c r="B701" s="197"/>
      <c r="C701" s="197"/>
      <c r="D701" s="198"/>
      <c r="E701" s="262"/>
      <c r="F701" s="198"/>
      <c r="G701" s="262"/>
      <c r="H701" s="198"/>
      <c r="I701" s="263"/>
      <c r="J701" s="198"/>
    </row>
    <row r="702" spans="1:10" ht="12.75" customHeight="1">
      <c r="A702" s="265" t="s">
        <v>151</v>
      </c>
      <c r="B702" s="197"/>
      <c r="C702" s="197"/>
      <c r="D702" s="198"/>
      <c r="E702" s="260"/>
      <c r="F702" s="198"/>
      <c r="G702" s="261"/>
      <c r="H702" s="198"/>
      <c r="I702" s="264"/>
      <c r="J702" s="198"/>
    </row>
    <row r="703" spans="1:10" ht="12.75" customHeight="1">
      <c r="A703" s="227" t="s">
        <v>152</v>
      </c>
      <c r="B703" s="197"/>
      <c r="C703" s="197"/>
      <c r="D703" s="198"/>
      <c r="E703" s="262"/>
      <c r="F703" s="198"/>
      <c r="G703" s="262"/>
      <c r="H703" s="198"/>
      <c r="I703" s="263"/>
      <c r="J703" s="198"/>
    </row>
    <row r="704" spans="1:10" ht="12.75" customHeight="1">
      <c r="A704" s="265" t="s">
        <v>153</v>
      </c>
      <c r="B704" s="197"/>
      <c r="C704" s="197"/>
      <c r="D704" s="198"/>
      <c r="E704" s="260"/>
      <c r="F704" s="198"/>
      <c r="G704" s="261"/>
      <c r="H704" s="198"/>
      <c r="I704" s="264"/>
      <c r="J704" s="198"/>
    </row>
    <row r="705" spans="1:10" ht="12.75" customHeight="1">
      <c r="A705" s="227" t="s">
        <v>154</v>
      </c>
      <c r="B705" s="197"/>
      <c r="C705" s="197"/>
      <c r="D705" s="198"/>
      <c r="E705" s="262"/>
      <c r="F705" s="198"/>
      <c r="G705" s="262"/>
      <c r="H705" s="198"/>
      <c r="I705" s="263"/>
      <c r="J705" s="198"/>
    </row>
    <row r="706" spans="1:10" ht="12.75" customHeight="1">
      <c r="A706" s="265" t="s">
        <v>155</v>
      </c>
      <c r="B706" s="197"/>
      <c r="C706" s="197"/>
      <c r="D706" s="198"/>
      <c r="E706" s="260"/>
      <c r="F706" s="198"/>
      <c r="G706" s="261"/>
      <c r="H706" s="198"/>
      <c r="I706" s="264"/>
      <c r="J706" s="198"/>
    </row>
    <row r="707" spans="1:10" ht="12.75" customHeight="1">
      <c r="A707" s="227" t="s">
        <v>156</v>
      </c>
      <c r="B707" s="197"/>
      <c r="C707" s="197"/>
      <c r="D707" s="198"/>
      <c r="E707" s="266"/>
      <c r="F707" s="198"/>
      <c r="G707" s="266"/>
      <c r="H707" s="198"/>
      <c r="I707" s="267"/>
      <c r="J707" s="198"/>
    </row>
    <row r="708" spans="1:10" ht="12.75" customHeight="1">
      <c r="A708" s="259"/>
      <c r="B708" s="197"/>
      <c r="C708" s="197"/>
      <c r="D708" s="198"/>
      <c r="E708" s="260"/>
      <c r="F708" s="198"/>
      <c r="G708" s="261"/>
      <c r="H708" s="198"/>
      <c r="I708" s="261"/>
      <c r="J708" s="198"/>
    </row>
    <row r="709" spans="1:10" ht="12.75" customHeight="1">
      <c r="A709" s="259"/>
      <c r="B709" s="197"/>
      <c r="C709" s="197"/>
      <c r="D709" s="198"/>
      <c r="E709" s="260"/>
      <c r="F709" s="198"/>
      <c r="G709" s="261"/>
      <c r="H709" s="198"/>
      <c r="I709" s="261"/>
      <c r="J709" s="198"/>
    </row>
    <row r="710" spans="1:10" ht="12.75" customHeight="1">
      <c r="A710" s="259"/>
      <c r="B710" s="197"/>
      <c r="C710" s="197"/>
      <c r="D710" s="198"/>
      <c r="E710" s="260"/>
      <c r="F710" s="198"/>
      <c r="G710" s="261"/>
      <c r="H710" s="198"/>
      <c r="I710" s="261"/>
      <c r="J710" s="198"/>
    </row>
    <row r="711" spans="1:10" ht="12.75" customHeight="1">
      <c r="A711" s="231" t="s">
        <v>157</v>
      </c>
      <c r="B711" s="197"/>
      <c r="C711" s="197"/>
      <c r="D711" s="198"/>
      <c r="E711" s="256">
        <f>SUM(E701:E710)</f>
        <v>0</v>
      </c>
      <c r="F711" s="198"/>
      <c r="G711" s="256">
        <f>SUM(G701:G710)</f>
        <v>0</v>
      </c>
      <c r="H711" s="198"/>
      <c r="I711" s="256">
        <f>SUM(I701:I710)</f>
        <v>0</v>
      </c>
      <c r="J711" s="198"/>
    </row>
    <row r="712" spans="1:10" ht="12.75" customHeight="1">
      <c r="A712" s="257" t="s">
        <v>158</v>
      </c>
      <c r="B712" s="177"/>
      <c r="C712" s="177"/>
      <c r="D712" s="177"/>
      <c r="E712" s="177"/>
      <c r="F712" s="177"/>
      <c r="G712" s="177"/>
      <c r="H712" s="177"/>
      <c r="I712" s="177"/>
      <c r="J712" s="178"/>
    </row>
    <row r="713" spans="1:10" ht="12.75" customHeight="1">
      <c r="A713" s="258" t="s">
        <v>159</v>
      </c>
      <c r="B713" s="192"/>
      <c r="C713" s="192"/>
      <c r="D713" s="192"/>
      <c r="E713" s="192"/>
      <c r="F713" s="192"/>
      <c r="G713" s="192"/>
      <c r="H713" s="192"/>
      <c r="I713" s="192"/>
      <c r="J713" s="182"/>
    </row>
    <row r="714" spans="1:10" ht="12.75" customHeight="1">
      <c r="A714" s="258" t="s">
        <v>160</v>
      </c>
      <c r="B714" s="192"/>
      <c r="C714" s="192"/>
      <c r="D714" s="192"/>
      <c r="E714" s="192"/>
      <c r="F714" s="192"/>
      <c r="G714" s="192"/>
      <c r="H714" s="192"/>
      <c r="I714" s="192"/>
      <c r="J714" s="182"/>
    </row>
    <row r="715" spans="1:10" ht="12.75" customHeight="1">
      <c r="A715" s="268" t="s">
        <v>161</v>
      </c>
      <c r="B715" s="188"/>
      <c r="C715" s="188"/>
      <c r="D715" s="188"/>
      <c r="E715" s="188"/>
      <c r="F715" s="188"/>
      <c r="G715" s="188"/>
      <c r="H715" s="188"/>
      <c r="I715" s="188"/>
      <c r="J715" s="189"/>
    </row>
    <row r="716" spans="1:10" ht="12.75" customHeight="1">
      <c r="A716" s="207"/>
      <c r="B716" s="177"/>
      <c r="C716" s="177"/>
      <c r="D716" s="177"/>
      <c r="E716" s="177"/>
      <c r="F716" s="177"/>
      <c r="G716" s="177"/>
      <c r="H716" s="177"/>
      <c r="I716" s="177"/>
      <c r="J716" s="178"/>
    </row>
    <row r="717" spans="1:10" ht="12.75" customHeight="1">
      <c r="A717" s="183"/>
      <c r="B717" s="181"/>
      <c r="C717" s="181"/>
      <c r="D717" s="181"/>
      <c r="E717" s="181"/>
      <c r="F717" s="181"/>
      <c r="G717" s="181"/>
      <c r="H717" s="181"/>
      <c r="I717" s="181"/>
      <c r="J717" s="182"/>
    </row>
    <row r="718" spans="1:10" ht="12.75" customHeight="1">
      <c r="A718" s="183"/>
      <c r="B718" s="181"/>
      <c r="C718" s="181"/>
      <c r="D718" s="181"/>
      <c r="E718" s="181"/>
      <c r="F718" s="181"/>
      <c r="G718" s="181"/>
      <c r="H718" s="181"/>
      <c r="I718" s="181"/>
      <c r="J718" s="182"/>
    </row>
    <row r="719" spans="1:10" ht="12.75" customHeight="1">
      <c r="A719" s="183"/>
      <c r="B719" s="181"/>
      <c r="C719" s="181"/>
      <c r="D719" s="181"/>
      <c r="E719" s="181"/>
      <c r="F719" s="181"/>
      <c r="G719" s="181"/>
      <c r="H719" s="181"/>
      <c r="I719" s="181"/>
      <c r="J719" s="182"/>
    </row>
    <row r="720" spans="1:10" ht="12.75" customHeight="1">
      <c r="A720" s="183"/>
      <c r="B720" s="181"/>
      <c r="C720" s="181"/>
      <c r="D720" s="181"/>
      <c r="E720" s="181"/>
      <c r="F720" s="181"/>
      <c r="G720" s="181"/>
      <c r="H720" s="181"/>
      <c r="I720" s="181"/>
      <c r="J720" s="182"/>
    </row>
    <row r="721" spans="1:10" ht="12.75" customHeight="1">
      <c r="A721" s="183"/>
      <c r="B721" s="181"/>
      <c r="C721" s="181"/>
      <c r="D721" s="181"/>
      <c r="E721" s="181"/>
      <c r="F721" s="181"/>
      <c r="G721" s="181"/>
      <c r="H721" s="181"/>
      <c r="I721" s="181"/>
      <c r="J721" s="182"/>
    </row>
    <row r="722" spans="1:10" ht="12.75" customHeight="1">
      <c r="A722" s="183"/>
      <c r="B722" s="181"/>
      <c r="C722" s="181"/>
      <c r="D722" s="181"/>
      <c r="E722" s="181"/>
      <c r="F722" s="181"/>
      <c r="G722" s="181"/>
      <c r="H722" s="181"/>
      <c r="I722" s="181"/>
      <c r="J722" s="182"/>
    </row>
    <row r="723" spans="1:10" ht="12.75" customHeight="1">
      <c r="A723" s="183"/>
      <c r="B723" s="181"/>
      <c r="C723" s="181"/>
      <c r="D723" s="181"/>
      <c r="E723" s="181"/>
      <c r="F723" s="181"/>
      <c r="G723" s="181"/>
      <c r="H723" s="181"/>
      <c r="I723" s="181"/>
      <c r="J723" s="182"/>
    </row>
    <row r="724" spans="1:10" ht="12.75" customHeight="1">
      <c r="A724" s="183"/>
      <c r="B724" s="181"/>
      <c r="C724" s="181"/>
      <c r="D724" s="181"/>
      <c r="E724" s="181"/>
      <c r="F724" s="181"/>
      <c r="G724" s="181"/>
      <c r="H724" s="181"/>
      <c r="I724" s="181"/>
      <c r="J724" s="182"/>
    </row>
    <row r="725" spans="1:10" ht="12.75" customHeight="1">
      <c r="A725" s="183"/>
      <c r="B725" s="181"/>
      <c r="C725" s="181"/>
      <c r="D725" s="181"/>
      <c r="E725" s="181"/>
      <c r="F725" s="181"/>
      <c r="G725" s="181"/>
      <c r="H725" s="181"/>
      <c r="I725" s="181"/>
      <c r="J725" s="182"/>
    </row>
    <row r="726" spans="1:10" ht="12.75" customHeight="1">
      <c r="A726" s="183"/>
      <c r="B726" s="181"/>
      <c r="C726" s="181"/>
      <c r="D726" s="181"/>
      <c r="E726" s="181"/>
      <c r="F726" s="181"/>
      <c r="G726" s="181"/>
      <c r="H726" s="181"/>
      <c r="I726" s="181"/>
      <c r="J726" s="182"/>
    </row>
    <row r="727" spans="1:10" ht="12.75" customHeight="1">
      <c r="A727" s="183"/>
      <c r="B727" s="181"/>
      <c r="C727" s="181"/>
      <c r="D727" s="181"/>
      <c r="E727" s="181"/>
      <c r="F727" s="181"/>
      <c r="G727" s="181"/>
      <c r="H727" s="181"/>
      <c r="I727" s="181"/>
      <c r="J727" s="182"/>
    </row>
    <row r="728" spans="1:10" ht="12.75" customHeight="1">
      <c r="A728" s="183"/>
      <c r="B728" s="181"/>
      <c r="C728" s="181"/>
      <c r="D728" s="181"/>
      <c r="E728" s="181"/>
      <c r="F728" s="181"/>
      <c r="G728" s="181"/>
      <c r="H728" s="181"/>
      <c r="I728" s="181"/>
      <c r="J728" s="182"/>
    </row>
    <row r="729" spans="1:10" ht="12.75" customHeight="1">
      <c r="A729" s="183"/>
      <c r="B729" s="181"/>
      <c r="C729" s="181"/>
      <c r="D729" s="181"/>
      <c r="E729" s="181"/>
      <c r="F729" s="181"/>
      <c r="G729" s="181"/>
      <c r="H729" s="181"/>
      <c r="I729" s="181"/>
      <c r="J729" s="182"/>
    </row>
    <row r="730" spans="1:10" ht="12.75" customHeight="1">
      <c r="A730" s="183"/>
      <c r="B730" s="181"/>
      <c r="C730" s="181"/>
      <c r="D730" s="181"/>
      <c r="E730" s="181"/>
      <c r="F730" s="181"/>
      <c r="G730" s="181"/>
      <c r="H730" s="181"/>
      <c r="I730" s="181"/>
      <c r="J730" s="182"/>
    </row>
    <row r="731" spans="1:10" ht="12.75" customHeight="1">
      <c r="A731" s="183"/>
      <c r="B731" s="181"/>
      <c r="C731" s="181"/>
      <c r="D731" s="181"/>
      <c r="E731" s="181"/>
      <c r="F731" s="181"/>
      <c r="G731" s="181"/>
      <c r="H731" s="181"/>
      <c r="I731" s="181"/>
      <c r="J731" s="182"/>
    </row>
    <row r="732" spans="1:10" ht="12.75" customHeight="1">
      <c r="A732" s="183"/>
      <c r="B732" s="181"/>
      <c r="C732" s="181"/>
      <c r="D732" s="181"/>
      <c r="E732" s="181"/>
      <c r="F732" s="181"/>
      <c r="G732" s="181"/>
      <c r="H732" s="181"/>
      <c r="I732" s="181"/>
      <c r="J732" s="182"/>
    </row>
    <row r="733" spans="1:10" ht="12.75" customHeight="1">
      <c r="A733" s="183"/>
      <c r="B733" s="181"/>
      <c r="C733" s="181"/>
      <c r="D733" s="181"/>
      <c r="E733" s="181"/>
      <c r="F733" s="181"/>
      <c r="G733" s="181"/>
      <c r="H733" s="181"/>
      <c r="I733" s="181"/>
      <c r="J733" s="182"/>
    </row>
    <row r="734" spans="1:10" ht="12.75" customHeight="1">
      <c r="A734" s="183"/>
      <c r="B734" s="181"/>
      <c r="C734" s="181"/>
      <c r="D734" s="181"/>
      <c r="E734" s="181"/>
      <c r="F734" s="181"/>
      <c r="G734" s="181"/>
      <c r="H734" s="181"/>
      <c r="I734" s="181"/>
      <c r="J734" s="182"/>
    </row>
    <row r="735" spans="1:10" ht="12.75" customHeight="1">
      <c r="A735" s="183"/>
      <c r="B735" s="181"/>
      <c r="C735" s="181"/>
      <c r="D735" s="181"/>
      <c r="E735" s="181"/>
      <c r="F735" s="181"/>
      <c r="G735" s="181"/>
      <c r="H735" s="181"/>
      <c r="I735" s="181"/>
      <c r="J735" s="182"/>
    </row>
    <row r="736" spans="1:10" ht="12.75" customHeight="1">
      <c r="A736" s="183"/>
      <c r="B736" s="181"/>
      <c r="C736" s="181"/>
      <c r="D736" s="181"/>
      <c r="E736" s="181"/>
      <c r="F736" s="181"/>
      <c r="G736" s="181"/>
      <c r="H736" s="181"/>
      <c r="I736" s="181"/>
      <c r="J736" s="182"/>
    </row>
    <row r="737" spans="1:10" ht="12.75" customHeight="1">
      <c r="A737" s="183"/>
      <c r="B737" s="181"/>
      <c r="C737" s="181"/>
      <c r="D737" s="181"/>
      <c r="E737" s="181"/>
      <c r="F737" s="181"/>
      <c r="G737" s="181"/>
      <c r="H737" s="181"/>
      <c r="I737" s="181"/>
      <c r="J737" s="182"/>
    </row>
    <row r="738" spans="1:10" ht="12.75" customHeight="1">
      <c r="A738" s="183"/>
      <c r="B738" s="181"/>
      <c r="C738" s="181"/>
      <c r="D738" s="181"/>
      <c r="E738" s="181"/>
      <c r="F738" s="181"/>
      <c r="G738" s="181"/>
      <c r="H738" s="181"/>
      <c r="I738" s="181"/>
      <c r="J738" s="182"/>
    </row>
    <row r="739" spans="1:10" ht="12.75" customHeight="1">
      <c r="A739" s="183"/>
      <c r="B739" s="181"/>
      <c r="C739" s="181"/>
      <c r="D739" s="181"/>
      <c r="E739" s="181"/>
      <c r="F739" s="181"/>
      <c r="G739" s="181"/>
      <c r="H739" s="181"/>
      <c r="I739" s="181"/>
      <c r="J739" s="182"/>
    </row>
    <row r="740" spans="1:10" ht="12.75" customHeight="1">
      <c r="A740" s="183"/>
      <c r="B740" s="181"/>
      <c r="C740" s="181"/>
      <c r="D740" s="181"/>
      <c r="E740" s="181"/>
      <c r="F740" s="181"/>
      <c r="G740" s="181"/>
      <c r="H740" s="181"/>
      <c r="I740" s="181"/>
      <c r="J740" s="182"/>
    </row>
    <row r="741" spans="1:10" ht="12.75" customHeight="1">
      <c r="A741" s="183"/>
      <c r="B741" s="181"/>
      <c r="C741" s="181"/>
      <c r="D741" s="181"/>
      <c r="E741" s="181"/>
      <c r="F741" s="181"/>
      <c r="G741" s="181"/>
      <c r="H741" s="181"/>
      <c r="I741" s="181"/>
      <c r="J741" s="182"/>
    </row>
    <row r="742" spans="1:10" ht="12.75" customHeight="1">
      <c r="A742" s="183"/>
      <c r="B742" s="181"/>
      <c r="C742" s="181"/>
      <c r="D742" s="181"/>
      <c r="E742" s="181"/>
      <c r="F742" s="181"/>
      <c r="G742" s="181"/>
      <c r="H742" s="181"/>
      <c r="I742" s="181"/>
      <c r="J742" s="182"/>
    </row>
    <row r="743" spans="1:10" ht="12.75" customHeight="1">
      <c r="A743" s="183"/>
      <c r="B743" s="181"/>
      <c r="C743" s="181"/>
      <c r="D743" s="181"/>
      <c r="E743" s="181"/>
      <c r="F743" s="181"/>
      <c r="G743" s="181"/>
      <c r="H743" s="181"/>
      <c r="I743" s="181"/>
      <c r="J743" s="182"/>
    </row>
    <row r="744" spans="1:10" ht="12.75" customHeight="1">
      <c r="A744" s="183"/>
      <c r="B744" s="181"/>
      <c r="C744" s="181"/>
      <c r="D744" s="181"/>
      <c r="E744" s="181"/>
      <c r="F744" s="181"/>
      <c r="G744" s="181"/>
      <c r="H744" s="181"/>
      <c r="I744" s="181"/>
      <c r="J744" s="182"/>
    </row>
    <row r="745" spans="1:10" ht="12.75" customHeight="1">
      <c r="A745" s="183"/>
      <c r="B745" s="181"/>
      <c r="C745" s="181"/>
      <c r="D745" s="181"/>
      <c r="E745" s="181"/>
      <c r="F745" s="181"/>
      <c r="G745" s="181"/>
      <c r="H745" s="181"/>
      <c r="I745" s="181"/>
      <c r="J745" s="182"/>
    </row>
    <row r="746" spans="1:10" ht="12.75" customHeight="1">
      <c r="A746" s="183"/>
      <c r="B746" s="181"/>
      <c r="C746" s="181"/>
      <c r="D746" s="181"/>
      <c r="E746" s="181"/>
      <c r="F746" s="181"/>
      <c r="G746" s="181"/>
      <c r="H746" s="181"/>
      <c r="I746" s="181"/>
      <c r="J746" s="182"/>
    </row>
    <row r="747" spans="1:10" ht="12.75" customHeight="1">
      <c r="A747" s="183"/>
      <c r="B747" s="181"/>
      <c r="C747" s="181"/>
      <c r="D747" s="181"/>
      <c r="E747" s="181"/>
      <c r="F747" s="181"/>
      <c r="G747" s="181"/>
      <c r="H747" s="181"/>
      <c r="I747" s="181"/>
      <c r="J747" s="182"/>
    </row>
    <row r="748" spans="1:10" ht="12.75" customHeight="1">
      <c r="A748" s="183"/>
      <c r="B748" s="181"/>
      <c r="C748" s="181"/>
      <c r="D748" s="181"/>
      <c r="E748" s="181"/>
      <c r="F748" s="181"/>
      <c r="G748" s="181"/>
      <c r="H748" s="181"/>
      <c r="I748" s="181"/>
      <c r="J748" s="182"/>
    </row>
    <row r="749" spans="1:10" ht="12.75" customHeight="1">
      <c r="A749" s="183"/>
      <c r="B749" s="181"/>
      <c r="C749" s="181"/>
      <c r="D749" s="181"/>
      <c r="E749" s="181"/>
      <c r="F749" s="181"/>
      <c r="G749" s="181"/>
      <c r="H749" s="181"/>
      <c r="I749" s="181"/>
      <c r="J749" s="182"/>
    </row>
    <row r="750" spans="1:10" ht="12.75" customHeight="1">
      <c r="A750" s="201"/>
      <c r="B750" s="188"/>
      <c r="C750" s="188"/>
      <c r="D750" s="188"/>
      <c r="E750" s="188"/>
      <c r="F750" s="188"/>
      <c r="G750" s="188"/>
      <c r="H750" s="188"/>
      <c r="I750" s="188"/>
      <c r="J750" s="189"/>
    </row>
    <row r="751" spans="1:10" ht="12.75" customHeight="1"/>
    <row r="752" spans="1:10" ht="12.75" customHeight="1">
      <c r="A752" s="240" t="s">
        <v>69</v>
      </c>
      <c r="B752" s="197"/>
      <c r="C752" s="197"/>
      <c r="D752" s="197"/>
      <c r="E752" s="197"/>
      <c r="F752" s="197"/>
      <c r="G752" s="197"/>
      <c r="H752" s="241" t="str">
        <f>'CONTACT INFORMATION'!$A$24</f>
        <v>San Francisco</v>
      </c>
      <c r="I752" s="197"/>
      <c r="J752" s="198"/>
    </row>
    <row r="753" spans="1:10" ht="7.5" customHeight="1">
      <c r="A753" s="142"/>
      <c r="B753" s="142"/>
      <c r="C753" s="142"/>
      <c r="D753" s="142"/>
      <c r="E753" s="142"/>
      <c r="F753" s="142"/>
      <c r="G753" s="142"/>
      <c r="H753" s="142"/>
      <c r="I753" s="142"/>
      <c r="J753" s="142"/>
    </row>
    <row r="754" spans="1:10" ht="12.75" customHeight="1">
      <c r="A754" s="271" t="s">
        <v>181</v>
      </c>
      <c r="B754" s="197"/>
      <c r="C754" s="197"/>
      <c r="D754" s="197"/>
      <c r="E754" s="197"/>
      <c r="F754" s="197"/>
      <c r="G754" s="197"/>
      <c r="H754" s="197"/>
      <c r="I754" s="197"/>
      <c r="J754" s="198"/>
    </row>
    <row r="755" spans="1:10" ht="12.75" customHeight="1">
      <c r="A755" s="273" t="s">
        <v>144</v>
      </c>
      <c r="B755" s="177"/>
      <c r="C755" s="177"/>
      <c r="D755" s="178"/>
      <c r="E755" s="272"/>
      <c r="F755" s="177"/>
      <c r="G755" s="177"/>
      <c r="H755" s="177"/>
      <c r="I755" s="177"/>
      <c r="J755" s="178"/>
    </row>
    <row r="756" spans="1:10" ht="12.75" customHeight="1">
      <c r="A756" s="274" t="s">
        <v>171</v>
      </c>
      <c r="B756" s="188"/>
      <c r="C756" s="188"/>
      <c r="D756" s="189"/>
      <c r="E756" s="201"/>
      <c r="F756" s="188"/>
      <c r="G756" s="188"/>
      <c r="H756" s="188"/>
      <c r="I756" s="188"/>
      <c r="J756" s="189"/>
    </row>
    <row r="757" spans="1:10" ht="12.75" customHeight="1">
      <c r="A757" s="275" t="s">
        <v>172</v>
      </c>
      <c r="B757" s="197"/>
      <c r="C757" s="197"/>
      <c r="D757" s="198"/>
      <c r="E757" s="230"/>
      <c r="F757" s="197"/>
      <c r="G757" s="197"/>
      <c r="H757" s="197"/>
      <c r="I757" s="197"/>
      <c r="J757" s="198"/>
    </row>
    <row r="758" spans="1:10" ht="27" customHeight="1">
      <c r="A758" s="143"/>
      <c r="B758" s="141"/>
      <c r="C758" s="141"/>
      <c r="D758" s="141"/>
      <c r="E758" s="269" t="s">
        <v>147</v>
      </c>
      <c r="F758" s="188"/>
      <c r="G758" s="269" t="s">
        <v>148</v>
      </c>
      <c r="H758" s="188"/>
      <c r="I758" s="270" t="s">
        <v>149</v>
      </c>
      <c r="J758" s="189"/>
    </row>
    <row r="759" spans="1:10" ht="12.75" customHeight="1">
      <c r="A759" s="227" t="s">
        <v>150</v>
      </c>
      <c r="B759" s="197"/>
      <c r="C759" s="197"/>
      <c r="D759" s="198"/>
      <c r="E759" s="262"/>
      <c r="F759" s="198"/>
      <c r="G759" s="262"/>
      <c r="H759" s="198"/>
      <c r="I759" s="263"/>
      <c r="J759" s="198"/>
    </row>
    <row r="760" spans="1:10" ht="12.75" customHeight="1">
      <c r="A760" s="265" t="s">
        <v>151</v>
      </c>
      <c r="B760" s="197"/>
      <c r="C760" s="197"/>
      <c r="D760" s="198"/>
      <c r="E760" s="260"/>
      <c r="F760" s="198"/>
      <c r="G760" s="261"/>
      <c r="H760" s="198"/>
      <c r="I760" s="264"/>
      <c r="J760" s="198"/>
    </row>
    <row r="761" spans="1:10" ht="12.75" customHeight="1">
      <c r="A761" s="227" t="s">
        <v>152</v>
      </c>
      <c r="B761" s="197"/>
      <c r="C761" s="197"/>
      <c r="D761" s="198"/>
      <c r="E761" s="262"/>
      <c r="F761" s="198"/>
      <c r="G761" s="262"/>
      <c r="H761" s="198"/>
      <c r="I761" s="263"/>
      <c r="J761" s="198"/>
    </row>
    <row r="762" spans="1:10" ht="12.75" customHeight="1">
      <c r="A762" s="265" t="s">
        <v>153</v>
      </c>
      <c r="B762" s="197"/>
      <c r="C762" s="197"/>
      <c r="D762" s="198"/>
      <c r="E762" s="260"/>
      <c r="F762" s="198"/>
      <c r="G762" s="261"/>
      <c r="H762" s="198"/>
      <c r="I762" s="264"/>
      <c r="J762" s="198"/>
    </row>
    <row r="763" spans="1:10" ht="12.75" customHeight="1">
      <c r="A763" s="227" t="s">
        <v>154</v>
      </c>
      <c r="B763" s="197"/>
      <c r="C763" s="197"/>
      <c r="D763" s="198"/>
      <c r="E763" s="262"/>
      <c r="F763" s="198"/>
      <c r="G763" s="262"/>
      <c r="H763" s="198"/>
      <c r="I763" s="263"/>
      <c r="J763" s="198"/>
    </row>
    <row r="764" spans="1:10" ht="12.75" customHeight="1">
      <c r="A764" s="265" t="s">
        <v>155</v>
      </c>
      <c r="B764" s="197"/>
      <c r="C764" s="197"/>
      <c r="D764" s="198"/>
      <c r="E764" s="260"/>
      <c r="F764" s="198"/>
      <c r="G764" s="261"/>
      <c r="H764" s="198"/>
      <c r="I764" s="264"/>
      <c r="J764" s="198"/>
    </row>
    <row r="765" spans="1:10" ht="12.75" customHeight="1">
      <c r="A765" s="227" t="s">
        <v>156</v>
      </c>
      <c r="B765" s="197"/>
      <c r="C765" s="197"/>
      <c r="D765" s="198"/>
      <c r="E765" s="266"/>
      <c r="F765" s="198"/>
      <c r="G765" s="266"/>
      <c r="H765" s="198"/>
      <c r="I765" s="267"/>
      <c r="J765" s="198"/>
    </row>
    <row r="766" spans="1:10" ht="12.75" customHeight="1">
      <c r="A766" s="259"/>
      <c r="B766" s="197"/>
      <c r="C766" s="197"/>
      <c r="D766" s="198"/>
      <c r="E766" s="260"/>
      <c r="F766" s="198"/>
      <c r="G766" s="261"/>
      <c r="H766" s="198"/>
      <c r="I766" s="261"/>
      <c r="J766" s="198"/>
    </row>
    <row r="767" spans="1:10" ht="12.75" customHeight="1">
      <c r="A767" s="259"/>
      <c r="B767" s="197"/>
      <c r="C767" s="197"/>
      <c r="D767" s="198"/>
      <c r="E767" s="260"/>
      <c r="F767" s="198"/>
      <c r="G767" s="261"/>
      <c r="H767" s="198"/>
      <c r="I767" s="261"/>
      <c r="J767" s="198"/>
    </row>
    <row r="768" spans="1:10" ht="12.75" customHeight="1">
      <c r="A768" s="259"/>
      <c r="B768" s="197"/>
      <c r="C768" s="197"/>
      <c r="D768" s="198"/>
      <c r="E768" s="260"/>
      <c r="F768" s="198"/>
      <c r="G768" s="261"/>
      <c r="H768" s="198"/>
      <c r="I768" s="261"/>
      <c r="J768" s="198"/>
    </row>
    <row r="769" spans="1:10" ht="12.75" customHeight="1">
      <c r="A769" s="231" t="s">
        <v>157</v>
      </c>
      <c r="B769" s="197"/>
      <c r="C769" s="197"/>
      <c r="D769" s="198"/>
      <c r="E769" s="256">
        <f>SUM(E759:E768)</f>
        <v>0</v>
      </c>
      <c r="F769" s="198"/>
      <c r="G769" s="256">
        <f>SUM(G759:G768)</f>
        <v>0</v>
      </c>
      <c r="H769" s="198"/>
      <c r="I769" s="256">
        <f>SUM(I759:I768)</f>
        <v>0</v>
      </c>
      <c r="J769" s="198"/>
    </row>
    <row r="770" spans="1:10" ht="12.75" customHeight="1">
      <c r="A770" s="257" t="s">
        <v>158</v>
      </c>
      <c r="B770" s="177"/>
      <c r="C770" s="177"/>
      <c r="D770" s="177"/>
      <c r="E770" s="177"/>
      <c r="F770" s="177"/>
      <c r="G770" s="177"/>
      <c r="H770" s="177"/>
      <c r="I770" s="177"/>
      <c r="J770" s="178"/>
    </row>
    <row r="771" spans="1:10" ht="12.75" customHeight="1">
      <c r="A771" s="258" t="s">
        <v>159</v>
      </c>
      <c r="B771" s="192"/>
      <c r="C771" s="192"/>
      <c r="D771" s="192"/>
      <c r="E771" s="192"/>
      <c r="F771" s="192"/>
      <c r="G771" s="192"/>
      <c r="H771" s="192"/>
      <c r="I771" s="192"/>
      <c r="J771" s="182"/>
    </row>
    <row r="772" spans="1:10" ht="12.75" customHeight="1">
      <c r="A772" s="258" t="s">
        <v>160</v>
      </c>
      <c r="B772" s="192"/>
      <c r="C772" s="192"/>
      <c r="D772" s="192"/>
      <c r="E772" s="192"/>
      <c r="F772" s="192"/>
      <c r="G772" s="192"/>
      <c r="H772" s="192"/>
      <c r="I772" s="192"/>
      <c r="J772" s="182"/>
    </row>
    <row r="773" spans="1:10" ht="12.75" customHeight="1">
      <c r="A773" s="268" t="s">
        <v>161</v>
      </c>
      <c r="B773" s="188"/>
      <c r="C773" s="188"/>
      <c r="D773" s="188"/>
      <c r="E773" s="188"/>
      <c r="F773" s="188"/>
      <c r="G773" s="188"/>
      <c r="H773" s="188"/>
      <c r="I773" s="188"/>
      <c r="J773" s="189"/>
    </row>
    <row r="774" spans="1:10" ht="12.75" customHeight="1">
      <c r="A774" s="207"/>
      <c r="B774" s="177"/>
      <c r="C774" s="177"/>
      <c r="D774" s="177"/>
      <c r="E774" s="177"/>
      <c r="F774" s="177"/>
      <c r="G774" s="177"/>
      <c r="H774" s="177"/>
      <c r="I774" s="177"/>
      <c r="J774" s="178"/>
    </row>
    <row r="775" spans="1:10" ht="12.75" customHeight="1">
      <c r="A775" s="183"/>
      <c r="B775" s="181"/>
      <c r="C775" s="181"/>
      <c r="D775" s="181"/>
      <c r="E775" s="181"/>
      <c r="F775" s="181"/>
      <c r="G775" s="181"/>
      <c r="H775" s="181"/>
      <c r="I775" s="181"/>
      <c r="J775" s="182"/>
    </row>
    <row r="776" spans="1:10" ht="12.75" customHeight="1">
      <c r="A776" s="183"/>
      <c r="B776" s="181"/>
      <c r="C776" s="181"/>
      <c r="D776" s="181"/>
      <c r="E776" s="181"/>
      <c r="F776" s="181"/>
      <c r="G776" s="181"/>
      <c r="H776" s="181"/>
      <c r="I776" s="181"/>
      <c r="J776" s="182"/>
    </row>
    <row r="777" spans="1:10" ht="12.75" customHeight="1">
      <c r="A777" s="183"/>
      <c r="B777" s="181"/>
      <c r="C777" s="181"/>
      <c r="D777" s="181"/>
      <c r="E777" s="181"/>
      <c r="F777" s="181"/>
      <c r="G777" s="181"/>
      <c r="H777" s="181"/>
      <c r="I777" s="181"/>
      <c r="J777" s="182"/>
    </row>
    <row r="778" spans="1:10" ht="12.75" customHeight="1">
      <c r="A778" s="183"/>
      <c r="B778" s="181"/>
      <c r="C778" s="181"/>
      <c r="D778" s="181"/>
      <c r="E778" s="181"/>
      <c r="F778" s="181"/>
      <c r="G778" s="181"/>
      <c r="H778" s="181"/>
      <c r="I778" s="181"/>
      <c r="J778" s="182"/>
    </row>
    <row r="779" spans="1:10" ht="12.75" customHeight="1">
      <c r="A779" s="183"/>
      <c r="B779" s="181"/>
      <c r="C779" s="181"/>
      <c r="D779" s="181"/>
      <c r="E779" s="181"/>
      <c r="F779" s="181"/>
      <c r="G779" s="181"/>
      <c r="H779" s="181"/>
      <c r="I779" s="181"/>
      <c r="J779" s="182"/>
    </row>
    <row r="780" spans="1:10" ht="12.75" customHeight="1">
      <c r="A780" s="183"/>
      <c r="B780" s="181"/>
      <c r="C780" s="181"/>
      <c r="D780" s="181"/>
      <c r="E780" s="181"/>
      <c r="F780" s="181"/>
      <c r="G780" s="181"/>
      <c r="H780" s="181"/>
      <c r="I780" s="181"/>
      <c r="J780" s="182"/>
    </row>
    <row r="781" spans="1:10" ht="12.75" customHeight="1">
      <c r="A781" s="183"/>
      <c r="B781" s="181"/>
      <c r="C781" s="181"/>
      <c r="D781" s="181"/>
      <c r="E781" s="181"/>
      <c r="F781" s="181"/>
      <c r="G781" s="181"/>
      <c r="H781" s="181"/>
      <c r="I781" s="181"/>
      <c r="J781" s="182"/>
    </row>
    <row r="782" spans="1:10" ht="12.75" customHeight="1">
      <c r="A782" s="183"/>
      <c r="B782" s="181"/>
      <c r="C782" s="181"/>
      <c r="D782" s="181"/>
      <c r="E782" s="181"/>
      <c r="F782" s="181"/>
      <c r="G782" s="181"/>
      <c r="H782" s="181"/>
      <c r="I782" s="181"/>
      <c r="J782" s="182"/>
    </row>
    <row r="783" spans="1:10" ht="12.75" customHeight="1">
      <c r="A783" s="183"/>
      <c r="B783" s="181"/>
      <c r="C783" s="181"/>
      <c r="D783" s="181"/>
      <c r="E783" s="181"/>
      <c r="F783" s="181"/>
      <c r="G783" s="181"/>
      <c r="H783" s="181"/>
      <c r="I783" s="181"/>
      <c r="J783" s="182"/>
    </row>
    <row r="784" spans="1:10" ht="12.75" customHeight="1">
      <c r="A784" s="183"/>
      <c r="B784" s="181"/>
      <c r="C784" s="181"/>
      <c r="D784" s="181"/>
      <c r="E784" s="181"/>
      <c r="F784" s="181"/>
      <c r="G784" s="181"/>
      <c r="H784" s="181"/>
      <c r="I784" s="181"/>
      <c r="J784" s="182"/>
    </row>
    <row r="785" spans="1:10" ht="12.75" customHeight="1">
      <c r="A785" s="183"/>
      <c r="B785" s="181"/>
      <c r="C785" s="181"/>
      <c r="D785" s="181"/>
      <c r="E785" s="181"/>
      <c r="F785" s="181"/>
      <c r="G785" s="181"/>
      <c r="H785" s="181"/>
      <c r="I785" s="181"/>
      <c r="J785" s="182"/>
    </row>
    <row r="786" spans="1:10" ht="12.75" customHeight="1">
      <c r="A786" s="183"/>
      <c r="B786" s="181"/>
      <c r="C786" s="181"/>
      <c r="D786" s="181"/>
      <c r="E786" s="181"/>
      <c r="F786" s="181"/>
      <c r="G786" s="181"/>
      <c r="H786" s="181"/>
      <c r="I786" s="181"/>
      <c r="J786" s="182"/>
    </row>
    <row r="787" spans="1:10" ht="12.75" customHeight="1">
      <c r="A787" s="183"/>
      <c r="B787" s="181"/>
      <c r="C787" s="181"/>
      <c r="D787" s="181"/>
      <c r="E787" s="181"/>
      <c r="F787" s="181"/>
      <c r="G787" s="181"/>
      <c r="H787" s="181"/>
      <c r="I787" s="181"/>
      <c r="J787" s="182"/>
    </row>
    <row r="788" spans="1:10" ht="12.75" customHeight="1">
      <c r="A788" s="183"/>
      <c r="B788" s="181"/>
      <c r="C788" s="181"/>
      <c r="D788" s="181"/>
      <c r="E788" s="181"/>
      <c r="F788" s="181"/>
      <c r="G788" s="181"/>
      <c r="H788" s="181"/>
      <c r="I788" s="181"/>
      <c r="J788" s="182"/>
    </row>
    <row r="789" spans="1:10" ht="12.75" customHeight="1">
      <c r="A789" s="183"/>
      <c r="B789" s="181"/>
      <c r="C789" s="181"/>
      <c r="D789" s="181"/>
      <c r="E789" s="181"/>
      <c r="F789" s="181"/>
      <c r="G789" s="181"/>
      <c r="H789" s="181"/>
      <c r="I789" s="181"/>
      <c r="J789" s="182"/>
    </row>
    <row r="790" spans="1:10" ht="12.75" customHeight="1">
      <c r="A790" s="183"/>
      <c r="B790" s="181"/>
      <c r="C790" s="181"/>
      <c r="D790" s="181"/>
      <c r="E790" s="181"/>
      <c r="F790" s="181"/>
      <c r="G790" s="181"/>
      <c r="H790" s="181"/>
      <c r="I790" s="181"/>
      <c r="J790" s="182"/>
    </row>
    <row r="791" spans="1:10" ht="12.75" customHeight="1">
      <c r="A791" s="183"/>
      <c r="B791" s="181"/>
      <c r="C791" s="181"/>
      <c r="D791" s="181"/>
      <c r="E791" s="181"/>
      <c r="F791" s="181"/>
      <c r="G791" s="181"/>
      <c r="H791" s="181"/>
      <c r="I791" s="181"/>
      <c r="J791" s="182"/>
    </row>
    <row r="792" spans="1:10" ht="12.75" customHeight="1">
      <c r="A792" s="183"/>
      <c r="B792" s="181"/>
      <c r="C792" s="181"/>
      <c r="D792" s="181"/>
      <c r="E792" s="181"/>
      <c r="F792" s="181"/>
      <c r="G792" s="181"/>
      <c r="H792" s="181"/>
      <c r="I792" s="181"/>
      <c r="J792" s="182"/>
    </row>
    <row r="793" spans="1:10" ht="12.75" customHeight="1">
      <c r="A793" s="183"/>
      <c r="B793" s="181"/>
      <c r="C793" s="181"/>
      <c r="D793" s="181"/>
      <c r="E793" s="181"/>
      <c r="F793" s="181"/>
      <c r="G793" s="181"/>
      <c r="H793" s="181"/>
      <c r="I793" s="181"/>
      <c r="J793" s="182"/>
    </row>
    <row r="794" spans="1:10" ht="12.75" customHeight="1">
      <c r="A794" s="183"/>
      <c r="B794" s="181"/>
      <c r="C794" s="181"/>
      <c r="D794" s="181"/>
      <c r="E794" s="181"/>
      <c r="F794" s="181"/>
      <c r="G794" s="181"/>
      <c r="H794" s="181"/>
      <c r="I794" s="181"/>
      <c r="J794" s="182"/>
    </row>
    <row r="795" spans="1:10" ht="12.75" customHeight="1">
      <c r="A795" s="183"/>
      <c r="B795" s="181"/>
      <c r="C795" s="181"/>
      <c r="D795" s="181"/>
      <c r="E795" s="181"/>
      <c r="F795" s="181"/>
      <c r="G795" s="181"/>
      <c r="H795" s="181"/>
      <c r="I795" s="181"/>
      <c r="J795" s="182"/>
    </row>
    <row r="796" spans="1:10" ht="12.75" customHeight="1">
      <c r="A796" s="183"/>
      <c r="B796" s="181"/>
      <c r="C796" s="181"/>
      <c r="D796" s="181"/>
      <c r="E796" s="181"/>
      <c r="F796" s="181"/>
      <c r="G796" s="181"/>
      <c r="H796" s="181"/>
      <c r="I796" s="181"/>
      <c r="J796" s="182"/>
    </row>
    <row r="797" spans="1:10" ht="12.75" customHeight="1">
      <c r="A797" s="183"/>
      <c r="B797" s="181"/>
      <c r="C797" s="181"/>
      <c r="D797" s="181"/>
      <c r="E797" s="181"/>
      <c r="F797" s="181"/>
      <c r="G797" s="181"/>
      <c r="H797" s="181"/>
      <c r="I797" s="181"/>
      <c r="J797" s="182"/>
    </row>
    <row r="798" spans="1:10" ht="12.75" customHeight="1">
      <c r="A798" s="183"/>
      <c r="B798" s="181"/>
      <c r="C798" s="181"/>
      <c r="D798" s="181"/>
      <c r="E798" s="181"/>
      <c r="F798" s="181"/>
      <c r="G798" s="181"/>
      <c r="H798" s="181"/>
      <c r="I798" s="181"/>
      <c r="J798" s="182"/>
    </row>
    <row r="799" spans="1:10" ht="12.75" customHeight="1">
      <c r="A799" s="183"/>
      <c r="B799" s="181"/>
      <c r="C799" s="181"/>
      <c r="D799" s="181"/>
      <c r="E799" s="181"/>
      <c r="F799" s="181"/>
      <c r="G799" s="181"/>
      <c r="H799" s="181"/>
      <c r="I799" s="181"/>
      <c r="J799" s="182"/>
    </row>
    <row r="800" spans="1:10" ht="12.75" customHeight="1">
      <c r="A800" s="183"/>
      <c r="B800" s="181"/>
      <c r="C800" s="181"/>
      <c r="D800" s="181"/>
      <c r="E800" s="181"/>
      <c r="F800" s="181"/>
      <c r="G800" s="181"/>
      <c r="H800" s="181"/>
      <c r="I800" s="181"/>
      <c r="J800" s="182"/>
    </row>
    <row r="801" spans="1:10" ht="12.75" customHeight="1">
      <c r="A801" s="183"/>
      <c r="B801" s="181"/>
      <c r="C801" s="181"/>
      <c r="D801" s="181"/>
      <c r="E801" s="181"/>
      <c r="F801" s="181"/>
      <c r="G801" s="181"/>
      <c r="H801" s="181"/>
      <c r="I801" s="181"/>
      <c r="J801" s="182"/>
    </row>
    <row r="802" spans="1:10" ht="12.75" customHeight="1">
      <c r="A802" s="183"/>
      <c r="B802" s="181"/>
      <c r="C802" s="181"/>
      <c r="D802" s="181"/>
      <c r="E802" s="181"/>
      <c r="F802" s="181"/>
      <c r="G802" s="181"/>
      <c r="H802" s="181"/>
      <c r="I802" s="181"/>
      <c r="J802" s="182"/>
    </row>
    <row r="803" spans="1:10" ht="12.75" customHeight="1">
      <c r="A803" s="183"/>
      <c r="B803" s="181"/>
      <c r="C803" s="181"/>
      <c r="D803" s="181"/>
      <c r="E803" s="181"/>
      <c r="F803" s="181"/>
      <c r="G803" s="181"/>
      <c r="H803" s="181"/>
      <c r="I803" s="181"/>
      <c r="J803" s="182"/>
    </row>
    <row r="804" spans="1:10" ht="12.75" customHeight="1">
      <c r="A804" s="183"/>
      <c r="B804" s="181"/>
      <c r="C804" s="181"/>
      <c r="D804" s="181"/>
      <c r="E804" s="181"/>
      <c r="F804" s="181"/>
      <c r="G804" s="181"/>
      <c r="H804" s="181"/>
      <c r="I804" s="181"/>
      <c r="J804" s="182"/>
    </row>
    <row r="805" spans="1:10" ht="12.75" customHeight="1">
      <c r="A805" s="183"/>
      <c r="B805" s="181"/>
      <c r="C805" s="181"/>
      <c r="D805" s="181"/>
      <c r="E805" s="181"/>
      <c r="F805" s="181"/>
      <c r="G805" s="181"/>
      <c r="H805" s="181"/>
      <c r="I805" s="181"/>
      <c r="J805" s="182"/>
    </row>
    <row r="806" spans="1:10" ht="12.75" customHeight="1">
      <c r="A806" s="183"/>
      <c r="B806" s="181"/>
      <c r="C806" s="181"/>
      <c r="D806" s="181"/>
      <c r="E806" s="181"/>
      <c r="F806" s="181"/>
      <c r="G806" s="181"/>
      <c r="H806" s="181"/>
      <c r="I806" s="181"/>
      <c r="J806" s="182"/>
    </row>
    <row r="807" spans="1:10" ht="12.75" customHeight="1">
      <c r="A807" s="183"/>
      <c r="B807" s="181"/>
      <c r="C807" s="181"/>
      <c r="D807" s="181"/>
      <c r="E807" s="181"/>
      <c r="F807" s="181"/>
      <c r="G807" s="181"/>
      <c r="H807" s="181"/>
      <c r="I807" s="181"/>
      <c r="J807" s="182"/>
    </row>
    <row r="808" spans="1:10" ht="12.75" customHeight="1">
      <c r="A808" s="201"/>
      <c r="B808" s="188"/>
      <c r="C808" s="188"/>
      <c r="D808" s="188"/>
      <c r="E808" s="188"/>
      <c r="F808" s="188"/>
      <c r="G808" s="188"/>
      <c r="H808" s="188"/>
      <c r="I808" s="188"/>
      <c r="J808" s="189"/>
    </row>
    <row r="809" spans="1:10" ht="12.75" customHeight="1"/>
    <row r="810" spans="1:10" ht="12.75" customHeight="1">
      <c r="A810" s="240" t="s">
        <v>69</v>
      </c>
      <c r="B810" s="197"/>
      <c r="C810" s="197"/>
      <c r="D810" s="197"/>
      <c r="E810" s="197"/>
      <c r="F810" s="197"/>
      <c r="G810" s="197"/>
      <c r="H810" s="241" t="str">
        <f>'CONTACT INFORMATION'!$A$24</f>
        <v>San Francisco</v>
      </c>
      <c r="I810" s="197"/>
      <c r="J810" s="198"/>
    </row>
    <row r="811" spans="1:10" ht="7.5" customHeight="1">
      <c r="A811" s="142"/>
      <c r="B811" s="142"/>
      <c r="C811" s="142"/>
      <c r="D811" s="142"/>
      <c r="E811" s="142"/>
      <c r="F811" s="142"/>
      <c r="G811" s="142"/>
      <c r="H811" s="142"/>
      <c r="I811" s="142"/>
      <c r="J811" s="142"/>
    </row>
    <row r="812" spans="1:10" ht="12.75" customHeight="1">
      <c r="A812" s="271" t="s">
        <v>182</v>
      </c>
      <c r="B812" s="197"/>
      <c r="C812" s="197"/>
      <c r="D812" s="197"/>
      <c r="E812" s="197"/>
      <c r="F812" s="197"/>
      <c r="G812" s="197"/>
      <c r="H812" s="197"/>
      <c r="I812" s="197"/>
      <c r="J812" s="198"/>
    </row>
    <row r="813" spans="1:10" ht="12.75" customHeight="1">
      <c r="A813" s="273" t="s">
        <v>144</v>
      </c>
      <c r="B813" s="177"/>
      <c r="C813" s="177"/>
      <c r="D813" s="178"/>
      <c r="E813" s="272"/>
      <c r="F813" s="177"/>
      <c r="G813" s="177"/>
      <c r="H813" s="177"/>
      <c r="I813" s="177"/>
      <c r="J813" s="178"/>
    </row>
    <row r="814" spans="1:10" ht="12.75" customHeight="1">
      <c r="A814" s="274" t="s">
        <v>171</v>
      </c>
      <c r="B814" s="188"/>
      <c r="C814" s="188"/>
      <c r="D814" s="189"/>
      <c r="E814" s="201"/>
      <c r="F814" s="188"/>
      <c r="G814" s="188"/>
      <c r="H814" s="188"/>
      <c r="I814" s="188"/>
      <c r="J814" s="189"/>
    </row>
    <row r="815" spans="1:10" ht="12.75" customHeight="1">
      <c r="A815" s="275" t="s">
        <v>172</v>
      </c>
      <c r="B815" s="197"/>
      <c r="C815" s="197"/>
      <c r="D815" s="198"/>
      <c r="E815" s="230"/>
      <c r="F815" s="197"/>
      <c r="G815" s="197"/>
      <c r="H815" s="197"/>
      <c r="I815" s="197"/>
      <c r="J815" s="198"/>
    </row>
    <row r="816" spans="1:10" ht="27" customHeight="1">
      <c r="A816" s="143"/>
      <c r="B816" s="141"/>
      <c r="C816" s="141"/>
      <c r="D816" s="141"/>
      <c r="E816" s="269" t="s">
        <v>147</v>
      </c>
      <c r="F816" s="188"/>
      <c r="G816" s="269" t="s">
        <v>148</v>
      </c>
      <c r="H816" s="188"/>
      <c r="I816" s="270" t="s">
        <v>149</v>
      </c>
      <c r="J816" s="189"/>
    </row>
    <row r="817" spans="1:10" ht="12.75" customHeight="1">
      <c r="A817" s="227" t="s">
        <v>150</v>
      </c>
      <c r="B817" s="197"/>
      <c r="C817" s="197"/>
      <c r="D817" s="198"/>
      <c r="E817" s="262"/>
      <c r="F817" s="198"/>
      <c r="G817" s="262"/>
      <c r="H817" s="198"/>
      <c r="I817" s="263"/>
      <c r="J817" s="198"/>
    </row>
    <row r="818" spans="1:10" ht="12.75" customHeight="1">
      <c r="A818" s="265" t="s">
        <v>151</v>
      </c>
      <c r="B818" s="197"/>
      <c r="C818" s="197"/>
      <c r="D818" s="198"/>
      <c r="E818" s="260"/>
      <c r="F818" s="198"/>
      <c r="G818" s="261"/>
      <c r="H818" s="198"/>
      <c r="I818" s="264"/>
      <c r="J818" s="198"/>
    </row>
    <row r="819" spans="1:10" ht="12.75" customHeight="1">
      <c r="A819" s="227" t="s">
        <v>152</v>
      </c>
      <c r="B819" s="197"/>
      <c r="C819" s="197"/>
      <c r="D819" s="198"/>
      <c r="E819" s="262"/>
      <c r="F819" s="198"/>
      <c r="G819" s="262"/>
      <c r="H819" s="198"/>
      <c r="I819" s="263"/>
      <c r="J819" s="198"/>
    </row>
    <row r="820" spans="1:10" ht="12.75" customHeight="1">
      <c r="A820" s="265" t="s">
        <v>153</v>
      </c>
      <c r="B820" s="197"/>
      <c r="C820" s="197"/>
      <c r="D820" s="198"/>
      <c r="E820" s="260"/>
      <c r="F820" s="198"/>
      <c r="G820" s="261"/>
      <c r="H820" s="198"/>
      <c r="I820" s="264"/>
      <c r="J820" s="198"/>
    </row>
    <row r="821" spans="1:10" ht="12.75" customHeight="1">
      <c r="A821" s="227" t="s">
        <v>154</v>
      </c>
      <c r="B821" s="197"/>
      <c r="C821" s="197"/>
      <c r="D821" s="198"/>
      <c r="E821" s="262"/>
      <c r="F821" s="198"/>
      <c r="G821" s="262"/>
      <c r="H821" s="198"/>
      <c r="I821" s="263"/>
      <c r="J821" s="198"/>
    </row>
    <row r="822" spans="1:10" ht="12.75" customHeight="1">
      <c r="A822" s="265" t="s">
        <v>155</v>
      </c>
      <c r="B822" s="197"/>
      <c r="C822" s="197"/>
      <c r="D822" s="198"/>
      <c r="E822" s="260"/>
      <c r="F822" s="198"/>
      <c r="G822" s="261"/>
      <c r="H822" s="198"/>
      <c r="I822" s="264"/>
      <c r="J822" s="198"/>
    </row>
    <row r="823" spans="1:10" ht="12.75" customHeight="1">
      <c r="A823" s="227" t="s">
        <v>156</v>
      </c>
      <c r="B823" s="197"/>
      <c r="C823" s="197"/>
      <c r="D823" s="198"/>
      <c r="E823" s="266"/>
      <c r="F823" s="198"/>
      <c r="G823" s="266"/>
      <c r="H823" s="198"/>
      <c r="I823" s="267"/>
      <c r="J823" s="198"/>
    </row>
    <row r="824" spans="1:10" ht="12.75" customHeight="1">
      <c r="A824" s="259"/>
      <c r="B824" s="197"/>
      <c r="C824" s="197"/>
      <c r="D824" s="198"/>
      <c r="E824" s="260"/>
      <c r="F824" s="198"/>
      <c r="G824" s="261"/>
      <c r="H824" s="198"/>
      <c r="I824" s="261"/>
      <c r="J824" s="198"/>
    </row>
    <row r="825" spans="1:10" ht="12.75" customHeight="1">
      <c r="A825" s="259"/>
      <c r="B825" s="197"/>
      <c r="C825" s="197"/>
      <c r="D825" s="198"/>
      <c r="E825" s="260"/>
      <c r="F825" s="198"/>
      <c r="G825" s="261"/>
      <c r="H825" s="198"/>
      <c r="I825" s="261"/>
      <c r="J825" s="198"/>
    </row>
    <row r="826" spans="1:10" ht="12.75" customHeight="1">
      <c r="A826" s="259"/>
      <c r="B826" s="197"/>
      <c r="C826" s="197"/>
      <c r="D826" s="198"/>
      <c r="E826" s="260"/>
      <c r="F826" s="198"/>
      <c r="G826" s="261"/>
      <c r="H826" s="198"/>
      <c r="I826" s="261"/>
      <c r="J826" s="198"/>
    </row>
    <row r="827" spans="1:10" ht="12.75" customHeight="1">
      <c r="A827" s="231" t="s">
        <v>157</v>
      </c>
      <c r="B827" s="197"/>
      <c r="C827" s="197"/>
      <c r="D827" s="198"/>
      <c r="E827" s="256">
        <f>SUM(E817:E826)</f>
        <v>0</v>
      </c>
      <c r="F827" s="198"/>
      <c r="G827" s="256">
        <f>SUM(G817:G826)</f>
        <v>0</v>
      </c>
      <c r="H827" s="198"/>
      <c r="I827" s="256">
        <f>SUM(I817:I826)</f>
        <v>0</v>
      </c>
      <c r="J827" s="198"/>
    </row>
    <row r="828" spans="1:10" ht="12.75" customHeight="1">
      <c r="A828" s="257" t="s">
        <v>158</v>
      </c>
      <c r="B828" s="177"/>
      <c r="C828" s="177"/>
      <c r="D828" s="177"/>
      <c r="E828" s="177"/>
      <c r="F828" s="177"/>
      <c r="G828" s="177"/>
      <c r="H828" s="177"/>
      <c r="I828" s="177"/>
      <c r="J828" s="178"/>
    </row>
    <row r="829" spans="1:10" ht="12.75" customHeight="1">
      <c r="A829" s="258" t="s">
        <v>159</v>
      </c>
      <c r="B829" s="192"/>
      <c r="C829" s="192"/>
      <c r="D829" s="192"/>
      <c r="E829" s="192"/>
      <c r="F829" s="192"/>
      <c r="G829" s="192"/>
      <c r="H829" s="192"/>
      <c r="I829" s="192"/>
      <c r="J829" s="182"/>
    </row>
    <row r="830" spans="1:10" ht="12.75" customHeight="1">
      <c r="A830" s="258" t="s">
        <v>160</v>
      </c>
      <c r="B830" s="192"/>
      <c r="C830" s="192"/>
      <c r="D830" s="192"/>
      <c r="E830" s="192"/>
      <c r="F830" s="192"/>
      <c r="G830" s="192"/>
      <c r="H830" s="192"/>
      <c r="I830" s="192"/>
      <c r="J830" s="182"/>
    </row>
    <row r="831" spans="1:10" ht="12.75" customHeight="1">
      <c r="A831" s="268" t="s">
        <v>161</v>
      </c>
      <c r="B831" s="188"/>
      <c r="C831" s="188"/>
      <c r="D831" s="188"/>
      <c r="E831" s="188"/>
      <c r="F831" s="188"/>
      <c r="G831" s="188"/>
      <c r="H831" s="188"/>
      <c r="I831" s="188"/>
      <c r="J831" s="189"/>
    </row>
    <row r="832" spans="1:10" ht="12.75" customHeight="1">
      <c r="A832" s="207"/>
      <c r="B832" s="177"/>
      <c r="C832" s="177"/>
      <c r="D832" s="177"/>
      <c r="E832" s="177"/>
      <c r="F832" s="177"/>
      <c r="G832" s="177"/>
      <c r="H832" s="177"/>
      <c r="I832" s="177"/>
      <c r="J832" s="178"/>
    </row>
    <row r="833" spans="1:10" ht="12.75" customHeight="1">
      <c r="A833" s="183"/>
      <c r="B833" s="181"/>
      <c r="C833" s="181"/>
      <c r="D833" s="181"/>
      <c r="E833" s="181"/>
      <c r="F833" s="181"/>
      <c r="G833" s="181"/>
      <c r="H833" s="181"/>
      <c r="I833" s="181"/>
      <c r="J833" s="182"/>
    </row>
    <row r="834" spans="1:10" ht="12.75" customHeight="1">
      <c r="A834" s="183"/>
      <c r="B834" s="181"/>
      <c r="C834" s="181"/>
      <c r="D834" s="181"/>
      <c r="E834" s="181"/>
      <c r="F834" s="181"/>
      <c r="G834" s="181"/>
      <c r="H834" s="181"/>
      <c r="I834" s="181"/>
      <c r="J834" s="182"/>
    </row>
    <row r="835" spans="1:10" ht="12.75" customHeight="1">
      <c r="A835" s="183"/>
      <c r="B835" s="181"/>
      <c r="C835" s="181"/>
      <c r="D835" s="181"/>
      <c r="E835" s="181"/>
      <c r="F835" s="181"/>
      <c r="G835" s="181"/>
      <c r="H835" s="181"/>
      <c r="I835" s="181"/>
      <c r="J835" s="182"/>
    </row>
    <row r="836" spans="1:10" ht="12.75" customHeight="1">
      <c r="A836" s="183"/>
      <c r="B836" s="181"/>
      <c r="C836" s="181"/>
      <c r="D836" s="181"/>
      <c r="E836" s="181"/>
      <c r="F836" s="181"/>
      <c r="G836" s="181"/>
      <c r="H836" s="181"/>
      <c r="I836" s="181"/>
      <c r="J836" s="182"/>
    </row>
    <row r="837" spans="1:10" ht="12.75" customHeight="1">
      <c r="A837" s="183"/>
      <c r="B837" s="181"/>
      <c r="C837" s="181"/>
      <c r="D837" s="181"/>
      <c r="E837" s="181"/>
      <c r="F837" s="181"/>
      <c r="G837" s="181"/>
      <c r="H837" s="181"/>
      <c r="I837" s="181"/>
      <c r="J837" s="182"/>
    </row>
    <row r="838" spans="1:10" ht="12.75" customHeight="1">
      <c r="A838" s="183"/>
      <c r="B838" s="181"/>
      <c r="C838" s="181"/>
      <c r="D838" s="181"/>
      <c r="E838" s="181"/>
      <c r="F838" s="181"/>
      <c r="G838" s="181"/>
      <c r="H838" s="181"/>
      <c r="I838" s="181"/>
      <c r="J838" s="182"/>
    </row>
    <row r="839" spans="1:10" ht="12.75" customHeight="1">
      <c r="A839" s="183"/>
      <c r="B839" s="181"/>
      <c r="C839" s="181"/>
      <c r="D839" s="181"/>
      <c r="E839" s="181"/>
      <c r="F839" s="181"/>
      <c r="G839" s="181"/>
      <c r="H839" s="181"/>
      <c r="I839" s="181"/>
      <c r="J839" s="182"/>
    </row>
    <row r="840" spans="1:10" ht="12.75" customHeight="1">
      <c r="A840" s="183"/>
      <c r="B840" s="181"/>
      <c r="C840" s="181"/>
      <c r="D840" s="181"/>
      <c r="E840" s="181"/>
      <c r="F840" s="181"/>
      <c r="G840" s="181"/>
      <c r="H840" s="181"/>
      <c r="I840" s="181"/>
      <c r="J840" s="182"/>
    </row>
    <row r="841" spans="1:10" ht="12.75" customHeight="1">
      <c r="A841" s="183"/>
      <c r="B841" s="181"/>
      <c r="C841" s="181"/>
      <c r="D841" s="181"/>
      <c r="E841" s="181"/>
      <c r="F841" s="181"/>
      <c r="G841" s="181"/>
      <c r="H841" s="181"/>
      <c r="I841" s="181"/>
      <c r="J841" s="182"/>
    </row>
    <row r="842" spans="1:10" ht="12.75" customHeight="1">
      <c r="A842" s="183"/>
      <c r="B842" s="181"/>
      <c r="C842" s="181"/>
      <c r="D842" s="181"/>
      <c r="E842" s="181"/>
      <c r="F842" s="181"/>
      <c r="G842" s="181"/>
      <c r="H842" s="181"/>
      <c r="I842" s="181"/>
      <c r="J842" s="182"/>
    </row>
    <row r="843" spans="1:10" ht="12.75" customHeight="1">
      <c r="A843" s="183"/>
      <c r="B843" s="181"/>
      <c r="C843" s="181"/>
      <c r="D843" s="181"/>
      <c r="E843" s="181"/>
      <c r="F843" s="181"/>
      <c r="G843" s="181"/>
      <c r="H843" s="181"/>
      <c r="I843" s="181"/>
      <c r="J843" s="182"/>
    </row>
    <row r="844" spans="1:10" ht="12.75" customHeight="1">
      <c r="A844" s="183"/>
      <c r="B844" s="181"/>
      <c r="C844" s="181"/>
      <c r="D844" s="181"/>
      <c r="E844" s="181"/>
      <c r="F844" s="181"/>
      <c r="G844" s="181"/>
      <c r="H844" s="181"/>
      <c r="I844" s="181"/>
      <c r="J844" s="182"/>
    </row>
    <row r="845" spans="1:10" ht="12.75" customHeight="1">
      <c r="A845" s="183"/>
      <c r="B845" s="181"/>
      <c r="C845" s="181"/>
      <c r="D845" s="181"/>
      <c r="E845" s="181"/>
      <c r="F845" s="181"/>
      <c r="G845" s="181"/>
      <c r="H845" s="181"/>
      <c r="I845" s="181"/>
      <c r="J845" s="182"/>
    </row>
    <row r="846" spans="1:10" ht="12.75" customHeight="1">
      <c r="A846" s="183"/>
      <c r="B846" s="181"/>
      <c r="C846" s="181"/>
      <c r="D846" s="181"/>
      <c r="E846" s="181"/>
      <c r="F846" s="181"/>
      <c r="G846" s="181"/>
      <c r="H846" s="181"/>
      <c r="I846" s="181"/>
      <c r="J846" s="182"/>
    </row>
    <row r="847" spans="1:10" ht="12.75" customHeight="1">
      <c r="A847" s="183"/>
      <c r="B847" s="181"/>
      <c r="C847" s="181"/>
      <c r="D847" s="181"/>
      <c r="E847" s="181"/>
      <c r="F847" s="181"/>
      <c r="G847" s="181"/>
      <c r="H847" s="181"/>
      <c r="I847" s="181"/>
      <c r="J847" s="182"/>
    </row>
    <row r="848" spans="1:10" ht="12.75" customHeight="1">
      <c r="A848" s="183"/>
      <c r="B848" s="181"/>
      <c r="C848" s="181"/>
      <c r="D848" s="181"/>
      <c r="E848" s="181"/>
      <c r="F848" s="181"/>
      <c r="G848" s="181"/>
      <c r="H848" s="181"/>
      <c r="I848" s="181"/>
      <c r="J848" s="182"/>
    </row>
    <row r="849" spans="1:10" ht="12.75" customHeight="1">
      <c r="A849" s="183"/>
      <c r="B849" s="181"/>
      <c r="C849" s="181"/>
      <c r="D849" s="181"/>
      <c r="E849" s="181"/>
      <c r="F849" s="181"/>
      <c r="G849" s="181"/>
      <c r="H849" s="181"/>
      <c r="I849" s="181"/>
      <c r="J849" s="182"/>
    </row>
    <row r="850" spans="1:10" ht="12.75" customHeight="1">
      <c r="A850" s="183"/>
      <c r="B850" s="181"/>
      <c r="C850" s="181"/>
      <c r="D850" s="181"/>
      <c r="E850" s="181"/>
      <c r="F850" s="181"/>
      <c r="G850" s="181"/>
      <c r="H850" s="181"/>
      <c r="I850" s="181"/>
      <c r="J850" s="182"/>
    </row>
    <row r="851" spans="1:10" ht="12.75" customHeight="1">
      <c r="A851" s="183"/>
      <c r="B851" s="181"/>
      <c r="C851" s="181"/>
      <c r="D851" s="181"/>
      <c r="E851" s="181"/>
      <c r="F851" s="181"/>
      <c r="G851" s="181"/>
      <c r="H851" s="181"/>
      <c r="I851" s="181"/>
      <c r="J851" s="182"/>
    </row>
    <row r="852" spans="1:10" ht="12.75" customHeight="1">
      <c r="A852" s="183"/>
      <c r="B852" s="181"/>
      <c r="C852" s="181"/>
      <c r="D852" s="181"/>
      <c r="E852" s="181"/>
      <c r="F852" s="181"/>
      <c r="G852" s="181"/>
      <c r="H852" s="181"/>
      <c r="I852" s="181"/>
      <c r="J852" s="182"/>
    </row>
    <row r="853" spans="1:10" ht="12.75" customHeight="1">
      <c r="A853" s="183"/>
      <c r="B853" s="181"/>
      <c r="C853" s="181"/>
      <c r="D853" s="181"/>
      <c r="E853" s="181"/>
      <c r="F853" s="181"/>
      <c r="G853" s="181"/>
      <c r="H853" s="181"/>
      <c r="I853" s="181"/>
      <c r="J853" s="182"/>
    </row>
    <row r="854" spans="1:10" ht="12.75" customHeight="1">
      <c r="A854" s="183"/>
      <c r="B854" s="181"/>
      <c r="C854" s="181"/>
      <c r="D854" s="181"/>
      <c r="E854" s="181"/>
      <c r="F854" s="181"/>
      <c r="G854" s="181"/>
      <c r="H854" s="181"/>
      <c r="I854" s="181"/>
      <c r="J854" s="182"/>
    </row>
    <row r="855" spans="1:10" ht="12.75" customHeight="1">
      <c r="A855" s="183"/>
      <c r="B855" s="181"/>
      <c r="C855" s="181"/>
      <c r="D855" s="181"/>
      <c r="E855" s="181"/>
      <c r="F855" s="181"/>
      <c r="G855" s="181"/>
      <c r="H855" s="181"/>
      <c r="I855" s="181"/>
      <c r="J855" s="182"/>
    </row>
    <row r="856" spans="1:10" ht="12.75" customHeight="1">
      <c r="A856" s="183"/>
      <c r="B856" s="181"/>
      <c r="C856" s="181"/>
      <c r="D856" s="181"/>
      <c r="E856" s="181"/>
      <c r="F856" s="181"/>
      <c r="G856" s="181"/>
      <c r="H856" s="181"/>
      <c r="I856" s="181"/>
      <c r="J856" s="182"/>
    </row>
    <row r="857" spans="1:10" ht="12.75" customHeight="1">
      <c r="A857" s="183"/>
      <c r="B857" s="181"/>
      <c r="C857" s="181"/>
      <c r="D857" s="181"/>
      <c r="E857" s="181"/>
      <c r="F857" s="181"/>
      <c r="G857" s="181"/>
      <c r="H857" s="181"/>
      <c r="I857" s="181"/>
      <c r="J857" s="182"/>
    </row>
    <row r="858" spans="1:10" ht="12.75" customHeight="1">
      <c r="A858" s="183"/>
      <c r="B858" s="181"/>
      <c r="C858" s="181"/>
      <c r="D858" s="181"/>
      <c r="E858" s="181"/>
      <c r="F858" s="181"/>
      <c r="G858" s="181"/>
      <c r="H858" s="181"/>
      <c r="I858" s="181"/>
      <c r="J858" s="182"/>
    </row>
    <row r="859" spans="1:10" ht="12.75" customHeight="1">
      <c r="A859" s="183"/>
      <c r="B859" s="181"/>
      <c r="C859" s="181"/>
      <c r="D859" s="181"/>
      <c r="E859" s="181"/>
      <c r="F859" s="181"/>
      <c r="G859" s="181"/>
      <c r="H859" s="181"/>
      <c r="I859" s="181"/>
      <c r="J859" s="182"/>
    </row>
    <row r="860" spans="1:10" ht="12.75" customHeight="1">
      <c r="A860" s="183"/>
      <c r="B860" s="181"/>
      <c r="C860" s="181"/>
      <c r="D860" s="181"/>
      <c r="E860" s="181"/>
      <c r="F860" s="181"/>
      <c r="G860" s="181"/>
      <c r="H860" s="181"/>
      <c r="I860" s="181"/>
      <c r="J860" s="182"/>
    </row>
    <row r="861" spans="1:10" ht="12.75" customHeight="1">
      <c r="A861" s="183"/>
      <c r="B861" s="181"/>
      <c r="C861" s="181"/>
      <c r="D861" s="181"/>
      <c r="E861" s="181"/>
      <c r="F861" s="181"/>
      <c r="G861" s="181"/>
      <c r="H861" s="181"/>
      <c r="I861" s="181"/>
      <c r="J861" s="182"/>
    </row>
    <row r="862" spans="1:10" ht="12.75" customHeight="1">
      <c r="A862" s="183"/>
      <c r="B862" s="181"/>
      <c r="C862" s="181"/>
      <c r="D862" s="181"/>
      <c r="E862" s="181"/>
      <c r="F862" s="181"/>
      <c r="G862" s="181"/>
      <c r="H862" s="181"/>
      <c r="I862" s="181"/>
      <c r="J862" s="182"/>
    </row>
    <row r="863" spans="1:10" ht="12.75" customHeight="1">
      <c r="A863" s="183"/>
      <c r="B863" s="181"/>
      <c r="C863" s="181"/>
      <c r="D863" s="181"/>
      <c r="E863" s="181"/>
      <c r="F863" s="181"/>
      <c r="G863" s="181"/>
      <c r="H863" s="181"/>
      <c r="I863" s="181"/>
      <c r="J863" s="182"/>
    </row>
    <row r="864" spans="1:10" ht="12.75" customHeight="1">
      <c r="A864" s="183"/>
      <c r="B864" s="181"/>
      <c r="C864" s="181"/>
      <c r="D864" s="181"/>
      <c r="E864" s="181"/>
      <c r="F864" s="181"/>
      <c r="G864" s="181"/>
      <c r="H864" s="181"/>
      <c r="I864" s="181"/>
      <c r="J864" s="182"/>
    </row>
    <row r="865" spans="1:10" ht="12.75" customHeight="1">
      <c r="A865" s="183"/>
      <c r="B865" s="181"/>
      <c r="C865" s="181"/>
      <c r="D865" s="181"/>
      <c r="E865" s="181"/>
      <c r="F865" s="181"/>
      <c r="G865" s="181"/>
      <c r="H865" s="181"/>
      <c r="I865" s="181"/>
      <c r="J865" s="182"/>
    </row>
    <row r="866" spans="1:10" ht="12.75" customHeight="1">
      <c r="A866" s="201"/>
      <c r="B866" s="188"/>
      <c r="C866" s="188"/>
      <c r="D866" s="188"/>
      <c r="E866" s="188"/>
      <c r="F866" s="188"/>
      <c r="G866" s="188"/>
      <c r="H866" s="188"/>
      <c r="I866" s="188"/>
      <c r="J866" s="189"/>
    </row>
    <row r="867" spans="1:10" ht="12.75" customHeight="1"/>
    <row r="868" spans="1:10" ht="12.75" customHeight="1">
      <c r="A868" s="240" t="s">
        <v>69</v>
      </c>
      <c r="B868" s="197"/>
      <c r="C868" s="197"/>
      <c r="D868" s="197"/>
      <c r="E868" s="197"/>
      <c r="F868" s="197"/>
      <c r="G868" s="197"/>
      <c r="H868" s="241" t="str">
        <f>'CONTACT INFORMATION'!$A$24</f>
        <v>San Francisco</v>
      </c>
      <c r="I868" s="197"/>
      <c r="J868" s="198"/>
    </row>
    <row r="869" spans="1:10" ht="7.5" customHeight="1">
      <c r="A869" s="144"/>
      <c r="B869" s="77"/>
      <c r="C869" s="77"/>
      <c r="D869" s="77"/>
      <c r="E869" s="77"/>
      <c r="F869" s="77"/>
      <c r="G869" s="77"/>
      <c r="H869" s="77"/>
      <c r="I869" s="77"/>
      <c r="J869" s="145"/>
    </row>
    <row r="870" spans="1:10" ht="12.75" customHeight="1">
      <c r="A870" s="271" t="s">
        <v>183</v>
      </c>
      <c r="B870" s="197"/>
      <c r="C870" s="197"/>
      <c r="D870" s="197"/>
      <c r="E870" s="197"/>
      <c r="F870" s="197"/>
      <c r="G870" s="197"/>
      <c r="H870" s="197"/>
      <c r="I870" s="197"/>
      <c r="J870" s="198"/>
    </row>
    <row r="871" spans="1:10" ht="12.75" customHeight="1">
      <c r="A871" s="273" t="s">
        <v>144</v>
      </c>
      <c r="B871" s="177"/>
      <c r="C871" s="177"/>
      <c r="D871" s="178"/>
      <c r="E871" s="272"/>
      <c r="F871" s="177"/>
      <c r="G871" s="177"/>
      <c r="H871" s="177"/>
      <c r="I871" s="177"/>
      <c r="J871" s="178"/>
    </row>
    <row r="872" spans="1:10" ht="12.75" customHeight="1">
      <c r="A872" s="274" t="s">
        <v>171</v>
      </c>
      <c r="B872" s="188"/>
      <c r="C872" s="188"/>
      <c r="D872" s="189"/>
      <c r="E872" s="201"/>
      <c r="F872" s="188"/>
      <c r="G872" s="188"/>
      <c r="H872" s="188"/>
      <c r="I872" s="188"/>
      <c r="J872" s="189"/>
    </row>
    <row r="873" spans="1:10" ht="12.75" customHeight="1">
      <c r="A873" s="275" t="s">
        <v>172</v>
      </c>
      <c r="B873" s="197"/>
      <c r="C873" s="197"/>
      <c r="D873" s="198"/>
      <c r="E873" s="230"/>
      <c r="F873" s="197"/>
      <c r="G873" s="197"/>
      <c r="H873" s="197"/>
      <c r="I873" s="197"/>
      <c r="J873" s="198"/>
    </row>
    <row r="874" spans="1:10" ht="27" customHeight="1">
      <c r="A874" s="143"/>
      <c r="B874" s="141"/>
      <c r="C874" s="141"/>
      <c r="D874" s="141"/>
      <c r="E874" s="269" t="s">
        <v>147</v>
      </c>
      <c r="F874" s="188"/>
      <c r="G874" s="269" t="s">
        <v>148</v>
      </c>
      <c r="H874" s="188"/>
      <c r="I874" s="270" t="s">
        <v>149</v>
      </c>
      <c r="J874" s="189"/>
    </row>
    <row r="875" spans="1:10" ht="12.75" customHeight="1">
      <c r="A875" s="227" t="s">
        <v>150</v>
      </c>
      <c r="B875" s="197"/>
      <c r="C875" s="197"/>
      <c r="D875" s="198"/>
      <c r="E875" s="262"/>
      <c r="F875" s="198"/>
      <c r="G875" s="262"/>
      <c r="H875" s="198"/>
      <c r="I875" s="263"/>
      <c r="J875" s="198"/>
    </row>
    <row r="876" spans="1:10" ht="12.75" customHeight="1">
      <c r="A876" s="265" t="s">
        <v>151</v>
      </c>
      <c r="B876" s="197"/>
      <c r="C876" s="197"/>
      <c r="D876" s="198"/>
      <c r="E876" s="260"/>
      <c r="F876" s="198"/>
      <c r="G876" s="261"/>
      <c r="H876" s="198"/>
      <c r="I876" s="264"/>
      <c r="J876" s="198"/>
    </row>
    <row r="877" spans="1:10" ht="12.75" customHeight="1">
      <c r="A877" s="227" t="s">
        <v>152</v>
      </c>
      <c r="B877" s="197"/>
      <c r="C877" s="197"/>
      <c r="D877" s="198"/>
      <c r="E877" s="262"/>
      <c r="F877" s="198"/>
      <c r="G877" s="262"/>
      <c r="H877" s="198"/>
      <c r="I877" s="263"/>
      <c r="J877" s="198"/>
    </row>
    <row r="878" spans="1:10" ht="12.75" customHeight="1">
      <c r="A878" s="265" t="s">
        <v>153</v>
      </c>
      <c r="B878" s="197"/>
      <c r="C878" s="197"/>
      <c r="D878" s="198"/>
      <c r="E878" s="260"/>
      <c r="F878" s="198"/>
      <c r="G878" s="261"/>
      <c r="H878" s="198"/>
      <c r="I878" s="264"/>
      <c r="J878" s="198"/>
    </row>
    <row r="879" spans="1:10" ht="12.75" customHeight="1">
      <c r="A879" s="227" t="s">
        <v>154</v>
      </c>
      <c r="B879" s="197"/>
      <c r="C879" s="197"/>
      <c r="D879" s="198"/>
      <c r="E879" s="262"/>
      <c r="F879" s="198"/>
      <c r="G879" s="262"/>
      <c r="H879" s="198"/>
      <c r="I879" s="263"/>
      <c r="J879" s="198"/>
    </row>
    <row r="880" spans="1:10" ht="12.75" customHeight="1">
      <c r="A880" s="265" t="s">
        <v>155</v>
      </c>
      <c r="B880" s="197"/>
      <c r="C880" s="197"/>
      <c r="D880" s="198"/>
      <c r="E880" s="260"/>
      <c r="F880" s="198"/>
      <c r="G880" s="261"/>
      <c r="H880" s="198"/>
      <c r="I880" s="264"/>
      <c r="J880" s="198"/>
    </row>
    <row r="881" spans="1:10" ht="12.75" customHeight="1">
      <c r="A881" s="227" t="s">
        <v>156</v>
      </c>
      <c r="B881" s="197"/>
      <c r="C881" s="197"/>
      <c r="D881" s="198"/>
      <c r="E881" s="266"/>
      <c r="F881" s="198"/>
      <c r="G881" s="266"/>
      <c r="H881" s="198"/>
      <c r="I881" s="267"/>
      <c r="J881" s="198"/>
    </row>
    <row r="882" spans="1:10" ht="12.75" customHeight="1">
      <c r="A882" s="259"/>
      <c r="B882" s="197"/>
      <c r="C882" s="197"/>
      <c r="D882" s="198"/>
      <c r="E882" s="260"/>
      <c r="F882" s="198"/>
      <c r="G882" s="261"/>
      <c r="H882" s="198"/>
      <c r="I882" s="261"/>
      <c r="J882" s="198"/>
    </row>
    <row r="883" spans="1:10" ht="12.75" customHeight="1">
      <c r="A883" s="259"/>
      <c r="B883" s="197"/>
      <c r="C883" s="197"/>
      <c r="D883" s="198"/>
      <c r="E883" s="260"/>
      <c r="F883" s="198"/>
      <c r="G883" s="261"/>
      <c r="H883" s="198"/>
      <c r="I883" s="261"/>
      <c r="J883" s="198"/>
    </row>
    <row r="884" spans="1:10" ht="12.75" customHeight="1">
      <c r="A884" s="259"/>
      <c r="B884" s="197"/>
      <c r="C884" s="197"/>
      <c r="D884" s="198"/>
      <c r="E884" s="260"/>
      <c r="F884" s="198"/>
      <c r="G884" s="261"/>
      <c r="H884" s="198"/>
      <c r="I884" s="261"/>
      <c r="J884" s="198"/>
    </row>
    <row r="885" spans="1:10" ht="12.75" customHeight="1">
      <c r="A885" s="231" t="s">
        <v>157</v>
      </c>
      <c r="B885" s="197"/>
      <c r="C885" s="197"/>
      <c r="D885" s="198"/>
      <c r="E885" s="256">
        <f>SUM(E875:E884)</f>
        <v>0</v>
      </c>
      <c r="F885" s="198"/>
      <c r="G885" s="256">
        <f>SUM(G875:G884)</f>
        <v>0</v>
      </c>
      <c r="H885" s="198"/>
      <c r="I885" s="256">
        <f>SUM(I875:I884)</f>
        <v>0</v>
      </c>
      <c r="J885" s="198"/>
    </row>
    <row r="886" spans="1:10" ht="12.75" customHeight="1">
      <c r="A886" s="257" t="s">
        <v>158</v>
      </c>
      <c r="B886" s="177"/>
      <c r="C886" s="177"/>
      <c r="D886" s="177"/>
      <c r="E886" s="177"/>
      <c r="F886" s="177"/>
      <c r="G886" s="177"/>
      <c r="H886" s="177"/>
      <c r="I886" s="177"/>
      <c r="J886" s="178"/>
    </row>
    <row r="887" spans="1:10" ht="12.75" customHeight="1">
      <c r="A887" s="258" t="s">
        <v>159</v>
      </c>
      <c r="B887" s="192"/>
      <c r="C887" s="192"/>
      <c r="D887" s="192"/>
      <c r="E887" s="192"/>
      <c r="F887" s="192"/>
      <c r="G887" s="192"/>
      <c r="H887" s="192"/>
      <c r="I887" s="192"/>
      <c r="J887" s="182"/>
    </row>
    <row r="888" spans="1:10" ht="12.75" customHeight="1">
      <c r="A888" s="258" t="s">
        <v>160</v>
      </c>
      <c r="B888" s="192"/>
      <c r="C888" s="192"/>
      <c r="D888" s="192"/>
      <c r="E888" s="192"/>
      <c r="F888" s="192"/>
      <c r="G888" s="192"/>
      <c r="H888" s="192"/>
      <c r="I888" s="192"/>
      <c r="J888" s="182"/>
    </row>
    <row r="889" spans="1:10" ht="12.75" customHeight="1">
      <c r="A889" s="268" t="s">
        <v>161</v>
      </c>
      <c r="B889" s="188"/>
      <c r="C889" s="188"/>
      <c r="D889" s="188"/>
      <c r="E889" s="188"/>
      <c r="F889" s="188"/>
      <c r="G889" s="188"/>
      <c r="H889" s="188"/>
      <c r="I889" s="188"/>
      <c r="J889" s="189"/>
    </row>
    <row r="890" spans="1:10" ht="12.75" customHeight="1">
      <c r="A890" s="207"/>
      <c r="B890" s="177"/>
      <c r="C890" s="177"/>
      <c r="D890" s="177"/>
      <c r="E890" s="177"/>
      <c r="F890" s="177"/>
      <c r="G890" s="177"/>
      <c r="H890" s="177"/>
      <c r="I890" s="177"/>
      <c r="J890" s="178"/>
    </row>
    <row r="891" spans="1:10" ht="12.75" customHeight="1">
      <c r="A891" s="183"/>
      <c r="B891" s="181"/>
      <c r="C891" s="181"/>
      <c r="D891" s="181"/>
      <c r="E891" s="181"/>
      <c r="F891" s="181"/>
      <c r="G891" s="181"/>
      <c r="H891" s="181"/>
      <c r="I891" s="181"/>
      <c r="J891" s="182"/>
    </row>
    <row r="892" spans="1:10" ht="12.75" customHeight="1">
      <c r="A892" s="183"/>
      <c r="B892" s="181"/>
      <c r="C892" s="181"/>
      <c r="D892" s="181"/>
      <c r="E892" s="181"/>
      <c r="F892" s="181"/>
      <c r="G892" s="181"/>
      <c r="H892" s="181"/>
      <c r="I892" s="181"/>
      <c r="J892" s="182"/>
    </row>
    <row r="893" spans="1:10" ht="12.75" customHeight="1">
      <c r="A893" s="183"/>
      <c r="B893" s="181"/>
      <c r="C893" s="181"/>
      <c r="D893" s="181"/>
      <c r="E893" s="181"/>
      <c r="F893" s="181"/>
      <c r="G893" s="181"/>
      <c r="H893" s="181"/>
      <c r="I893" s="181"/>
      <c r="J893" s="182"/>
    </row>
    <row r="894" spans="1:10" ht="12.75" customHeight="1">
      <c r="A894" s="183"/>
      <c r="B894" s="181"/>
      <c r="C894" s="181"/>
      <c r="D894" s="181"/>
      <c r="E894" s="181"/>
      <c r="F894" s="181"/>
      <c r="G894" s="181"/>
      <c r="H894" s="181"/>
      <c r="I894" s="181"/>
      <c r="J894" s="182"/>
    </row>
    <row r="895" spans="1:10" ht="12.75" customHeight="1">
      <c r="A895" s="183"/>
      <c r="B895" s="181"/>
      <c r="C895" s="181"/>
      <c r="D895" s="181"/>
      <c r="E895" s="181"/>
      <c r="F895" s="181"/>
      <c r="G895" s="181"/>
      <c r="H895" s="181"/>
      <c r="I895" s="181"/>
      <c r="J895" s="182"/>
    </row>
    <row r="896" spans="1:10" ht="12.75" customHeight="1">
      <c r="A896" s="183"/>
      <c r="B896" s="181"/>
      <c r="C896" s="181"/>
      <c r="D896" s="181"/>
      <c r="E896" s="181"/>
      <c r="F896" s="181"/>
      <c r="G896" s="181"/>
      <c r="H896" s="181"/>
      <c r="I896" s="181"/>
      <c r="J896" s="182"/>
    </row>
    <row r="897" spans="1:10" ht="12.75" customHeight="1">
      <c r="A897" s="183"/>
      <c r="B897" s="181"/>
      <c r="C897" s="181"/>
      <c r="D897" s="181"/>
      <c r="E897" s="181"/>
      <c r="F897" s="181"/>
      <c r="G897" s="181"/>
      <c r="H897" s="181"/>
      <c r="I897" s="181"/>
      <c r="J897" s="182"/>
    </row>
    <row r="898" spans="1:10" ht="12.75" customHeight="1">
      <c r="A898" s="183"/>
      <c r="B898" s="181"/>
      <c r="C898" s="181"/>
      <c r="D898" s="181"/>
      <c r="E898" s="181"/>
      <c r="F898" s="181"/>
      <c r="G898" s="181"/>
      <c r="H898" s="181"/>
      <c r="I898" s="181"/>
      <c r="J898" s="182"/>
    </row>
    <row r="899" spans="1:10" ht="12.75" customHeight="1">
      <c r="A899" s="183"/>
      <c r="B899" s="181"/>
      <c r="C899" s="181"/>
      <c r="D899" s="181"/>
      <c r="E899" s="181"/>
      <c r="F899" s="181"/>
      <c r="G899" s="181"/>
      <c r="H899" s="181"/>
      <c r="I899" s="181"/>
      <c r="J899" s="182"/>
    </row>
    <row r="900" spans="1:10" ht="12.75" customHeight="1">
      <c r="A900" s="183"/>
      <c r="B900" s="181"/>
      <c r="C900" s="181"/>
      <c r="D900" s="181"/>
      <c r="E900" s="181"/>
      <c r="F900" s="181"/>
      <c r="G900" s="181"/>
      <c r="H900" s="181"/>
      <c r="I900" s="181"/>
      <c r="J900" s="182"/>
    </row>
    <row r="901" spans="1:10" ht="12.75" customHeight="1">
      <c r="A901" s="183"/>
      <c r="B901" s="181"/>
      <c r="C901" s="181"/>
      <c r="D901" s="181"/>
      <c r="E901" s="181"/>
      <c r="F901" s="181"/>
      <c r="G901" s="181"/>
      <c r="H901" s="181"/>
      <c r="I901" s="181"/>
      <c r="J901" s="182"/>
    </row>
    <row r="902" spans="1:10" ht="12.75" customHeight="1">
      <c r="A902" s="183"/>
      <c r="B902" s="181"/>
      <c r="C902" s="181"/>
      <c r="D902" s="181"/>
      <c r="E902" s="181"/>
      <c r="F902" s="181"/>
      <c r="G902" s="181"/>
      <c r="H902" s="181"/>
      <c r="I902" s="181"/>
      <c r="J902" s="182"/>
    </row>
    <row r="903" spans="1:10" ht="12.75" customHeight="1">
      <c r="A903" s="183"/>
      <c r="B903" s="181"/>
      <c r="C903" s="181"/>
      <c r="D903" s="181"/>
      <c r="E903" s="181"/>
      <c r="F903" s="181"/>
      <c r="G903" s="181"/>
      <c r="H903" s="181"/>
      <c r="I903" s="181"/>
      <c r="J903" s="182"/>
    </row>
    <row r="904" spans="1:10" ht="12.75" customHeight="1">
      <c r="A904" s="183"/>
      <c r="B904" s="181"/>
      <c r="C904" s="181"/>
      <c r="D904" s="181"/>
      <c r="E904" s="181"/>
      <c r="F904" s="181"/>
      <c r="G904" s="181"/>
      <c r="H904" s="181"/>
      <c r="I904" s="181"/>
      <c r="J904" s="182"/>
    </row>
    <row r="905" spans="1:10" ht="12.75" customHeight="1">
      <c r="A905" s="183"/>
      <c r="B905" s="181"/>
      <c r="C905" s="181"/>
      <c r="D905" s="181"/>
      <c r="E905" s="181"/>
      <c r="F905" s="181"/>
      <c r="G905" s="181"/>
      <c r="H905" s="181"/>
      <c r="I905" s="181"/>
      <c r="J905" s="182"/>
    </row>
    <row r="906" spans="1:10" ht="12.75" customHeight="1">
      <c r="A906" s="183"/>
      <c r="B906" s="181"/>
      <c r="C906" s="181"/>
      <c r="D906" s="181"/>
      <c r="E906" s="181"/>
      <c r="F906" s="181"/>
      <c r="G906" s="181"/>
      <c r="H906" s="181"/>
      <c r="I906" s="181"/>
      <c r="J906" s="182"/>
    </row>
    <row r="907" spans="1:10" ht="12.75" customHeight="1">
      <c r="A907" s="183"/>
      <c r="B907" s="181"/>
      <c r="C907" s="181"/>
      <c r="D907" s="181"/>
      <c r="E907" s="181"/>
      <c r="F907" s="181"/>
      <c r="G907" s="181"/>
      <c r="H907" s="181"/>
      <c r="I907" s="181"/>
      <c r="J907" s="182"/>
    </row>
    <row r="908" spans="1:10" ht="12.75" customHeight="1">
      <c r="A908" s="183"/>
      <c r="B908" s="181"/>
      <c r="C908" s="181"/>
      <c r="D908" s="181"/>
      <c r="E908" s="181"/>
      <c r="F908" s="181"/>
      <c r="G908" s="181"/>
      <c r="H908" s="181"/>
      <c r="I908" s="181"/>
      <c r="J908" s="182"/>
    </row>
    <row r="909" spans="1:10" ht="12.75" customHeight="1">
      <c r="A909" s="183"/>
      <c r="B909" s="181"/>
      <c r="C909" s="181"/>
      <c r="D909" s="181"/>
      <c r="E909" s="181"/>
      <c r="F909" s="181"/>
      <c r="G909" s="181"/>
      <c r="H909" s="181"/>
      <c r="I909" s="181"/>
      <c r="J909" s="182"/>
    </row>
    <row r="910" spans="1:10" ht="12.75" customHeight="1">
      <c r="A910" s="183"/>
      <c r="B910" s="181"/>
      <c r="C910" s="181"/>
      <c r="D910" s="181"/>
      <c r="E910" s="181"/>
      <c r="F910" s="181"/>
      <c r="G910" s="181"/>
      <c r="H910" s="181"/>
      <c r="I910" s="181"/>
      <c r="J910" s="182"/>
    </row>
    <row r="911" spans="1:10" ht="12.75" customHeight="1">
      <c r="A911" s="183"/>
      <c r="B911" s="181"/>
      <c r="C911" s="181"/>
      <c r="D911" s="181"/>
      <c r="E911" s="181"/>
      <c r="F911" s="181"/>
      <c r="G911" s="181"/>
      <c r="H911" s="181"/>
      <c r="I911" s="181"/>
      <c r="J911" s="182"/>
    </row>
    <row r="912" spans="1:10" ht="12.75" customHeight="1">
      <c r="A912" s="183"/>
      <c r="B912" s="181"/>
      <c r="C912" s="181"/>
      <c r="D912" s="181"/>
      <c r="E912" s="181"/>
      <c r="F912" s="181"/>
      <c r="G912" s="181"/>
      <c r="H912" s="181"/>
      <c r="I912" s="181"/>
      <c r="J912" s="182"/>
    </row>
    <row r="913" spans="1:10" ht="12.75" customHeight="1">
      <c r="A913" s="183"/>
      <c r="B913" s="181"/>
      <c r="C913" s="181"/>
      <c r="D913" s="181"/>
      <c r="E913" s="181"/>
      <c r="F913" s="181"/>
      <c r="G913" s="181"/>
      <c r="H913" s="181"/>
      <c r="I913" s="181"/>
      <c r="J913" s="182"/>
    </row>
    <row r="914" spans="1:10" ht="12.75" customHeight="1">
      <c r="A914" s="183"/>
      <c r="B914" s="181"/>
      <c r="C914" s="181"/>
      <c r="D914" s="181"/>
      <c r="E914" s="181"/>
      <c r="F914" s="181"/>
      <c r="G914" s="181"/>
      <c r="H914" s="181"/>
      <c r="I914" s="181"/>
      <c r="J914" s="182"/>
    </row>
    <row r="915" spans="1:10" ht="12.75" customHeight="1">
      <c r="A915" s="183"/>
      <c r="B915" s="181"/>
      <c r="C915" s="181"/>
      <c r="D915" s="181"/>
      <c r="E915" s="181"/>
      <c r="F915" s="181"/>
      <c r="G915" s="181"/>
      <c r="H915" s="181"/>
      <c r="I915" s="181"/>
      <c r="J915" s="182"/>
    </row>
    <row r="916" spans="1:10" ht="12.75" customHeight="1">
      <c r="A916" s="183"/>
      <c r="B916" s="181"/>
      <c r="C916" s="181"/>
      <c r="D916" s="181"/>
      <c r="E916" s="181"/>
      <c r="F916" s="181"/>
      <c r="G916" s="181"/>
      <c r="H916" s="181"/>
      <c r="I916" s="181"/>
      <c r="J916" s="182"/>
    </row>
    <row r="917" spans="1:10" ht="12.75" customHeight="1">
      <c r="A917" s="183"/>
      <c r="B917" s="181"/>
      <c r="C917" s="181"/>
      <c r="D917" s="181"/>
      <c r="E917" s="181"/>
      <c r="F917" s="181"/>
      <c r="G917" s="181"/>
      <c r="H917" s="181"/>
      <c r="I917" s="181"/>
      <c r="J917" s="182"/>
    </row>
    <row r="918" spans="1:10" ht="12.75" customHeight="1">
      <c r="A918" s="183"/>
      <c r="B918" s="181"/>
      <c r="C918" s="181"/>
      <c r="D918" s="181"/>
      <c r="E918" s="181"/>
      <c r="F918" s="181"/>
      <c r="G918" s="181"/>
      <c r="H918" s="181"/>
      <c r="I918" s="181"/>
      <c r="J918" s="182"/>
    </row>
    <row r="919" spans="1:10" ht="12.75" customHeight="1">
      <c r="A919" s="183"/>
      <c r="B919" s="181"/>
      <c r="C919" s="181"/>
      <c r="D919" s="181"/>
      <c r="E919" s="181"/>
      <c r="F919" s="181"/>
      <c r="G919" s="181"/>
      <c r="H919" s="181"/>
      <c r="I919" s="181"/>
      <c r="J919" s="182"/>
    </row>
    <row r="920" spans="1:10" ht="12.75" customHeight="1">
      <c r="A920" s="183"/>
      <c r="B920" s="181"/>
      <c r="C920" s="181"/>
      <c r="D920" s="181"/>
      <c r="E920" s="181"/>
      <c r="F920" s="181"/>
      <c r="G920" s="181"/>
      <c r="H920" s="181"/>
      <c r="I920" s="181"/>
      <c r="J920" s="182"/>
    </row>
    <row r="921" spans="1:10" ht="12.75" customHeight="1">
      <c r="A921" s="183"/>
      <c r="B921" s="181"/>
      <c r="C921" s="181"/>
      <c r="D921" s="181"/>
      <c r="E921" s="181"/>
      <c r="F921" s="181"/>
      <c r="G921" s="181"/>
      <c r="H921" s="181"/>
      <c r="I921" s="181"/>
      <c r="J921" s="182"/>
    </row>
    <row r="922" spans="1:10" ht="12.75" customHeight="1">
      <c r="A922" s="183"/>
      <c r="B922" s="181"/>
      <c r="C922" s="181"/>
      <c r="D922" s="181"/>
      <c r="E922" s="181"/>
      <c r="F922" s="181"/>
      <c r="G922" s="181"/>
      <c r="H922" s="181"/>
      <c r="I922" s="181"/>
      <c r="J922" s="182"/>
    </row>
    <row r="923" spans="1:10" ht="12.75" customHeight="1">
      <c r="A923" s="183"/>
      <c r="B923" s="181"/>
      <c r="C923" s="181"/>
      <c r="D923" s="181"/>
      <c r="E923" s="181"/>
      <c r="F923" s="181"/>
      <c r="G923" s="181"/>
      <c r="H923" s="181"/>
      <c r="I923" s="181"/>
      <c r="J923" s="182"/>
    </row>
    <row r="924" spans="1:10" ht="12.75" customHeight="1">
      <c r="A924" s="201"/>
      <c r="B924" s="188"/>
      <c r="C924" s="188"/>
      <c r="D924" s="188"/>
      <c r="E924" s="188"/>
      <c r="F924" s="188"/>
      <c r="G924" s="188"/>
      <c r="H924" s="188"/>
      <c r="I924" s="188"/>
      <c r="J924" s="189"/>
    </row>
    <row r="925" spans="1:10" ht="12.75" customHeight="1"/>
    <row r="926" spans="1:10" ht="12.75" customHeight="1">
      <c r="A926" s="240" t="s">
        <v>69</v>
      </c>
      <c r="B926" s="197"/>
      <c r="C926" s="197"/>
      <c r="D926" s="197"/>
      <c r="E926" s="197"/>
      <c r="F926" s="197"/>
      <c r="G926" s="197"/>
      <c r="H926" s="241" t="str">
        <f>'CONTACT INFORMATION'!$A$24</f>
        <v>San Francisco</v>
      </c>
      <c r="I926" s="197"/>
      <c r="J926" s="198"/>
    </row>
    <row r="927" spans="1:10" ht="8.25" customHeight="1">
      <c r="A927" s="142"/>
      <c r="B927" s="142"/>
      <c r="C927" s="142"/>
      <c r="D927" s="142"/>
      <c r="E927" s="142"/>
      <c r="F927" s="142"/>
      <c r="G927" s="142"/>
      <c r="H927" s="142"/>
      <c r="I927" s="142"/>
      <c r="J927" s="142"/>
    </row>
    <row r="928" spans="1:10" ht="12.75" customHeight="1">
      <c r="A928" s="271" t="s">
        <v>184</v>
      </c>
      <c r="B928" s="197"/>
      <c r="C928" s="197"/>
      <c r="D928" s="197"/>
      <c r="E928" s="197"/>
      <c r="F928" s="197"/>
      <c r="G928" s="197"/>
      <c r="H928" s="197"/>
      <c r="I928" s="197"/>
      <c r="J928" s="198"/>
    </row>
    <row r="929" spans="1:10" ht="12.75" customHeight="1">
      <c r="A929" s="273" t="s">
        <v>144</v>
      </c>
      <c r="B929" s="177"/>
      <c r="C929" s="177"/>
      <c r="D929" s="178"/>
      <c r="E929" s="272"/>
      <c r="F929" s="177"/>
      <c r="G929" s="177"/>
      <c r="H929" s="177"/>
      <c r="I929" s="177"/>
      <c r="J929" s="178"/>
    </row>
    <row r="930" spans="1:10" ht="12.75" customHeight="1">
      <c r="A930" s="274" t="s">
        <v>171</v>
      </c>
      <c r="B930" s="188"/>
      <c r="C930" s="188"/>
      <c r="D930" s="189"/>
      <c r="E930" s="201"/>
      <c r="F930" s="188"/>
      <c r="G930" s="188"/>
      <c r="H930" s="188"/>
      <c r="I930" s="188"/>
      <c r="J930" s="189"/>
    </row>
    <row r="931" spans="1:10" ht="12.75" customHeight="1">
      <c r="A931" s="275" t="s">
        <v>172</v>
      </c>
      <c r="B931" s="197"/>
      <c r="C931" s="197"/>
      <c r="D931" s="198"/>
      <c r="E931" s="230"/>
      <c r="F931" s="197"/>
      <c r="G931" s="197"/>
      <c r="H931" s="197"/>
      <c r="I931" s="197"/>
      <c r="J931" s="198"/>
    </row>
    <row r="932" spans="1:10" ht="27" customHeight="1">
      <c r="A932" s="143"/>
      <c r="B932" s="141"/>
      <c r="C932" s="141"/>
      <c r="D932" s="141"/>
      <c r="E932" s="269" t="s">
        <v>147</v>
      </c>
      <c r="F932" s="188"/>
      <c r="G932" s="269" t="s">
        <v>148</v>
      </c>
      <c r="H932" s="188"/>
      <c r="I932" s="270" t="s">
        <v>149</v>
      </c>
      <c r="J932" s="189"/>
    </row>
    <row r="933" spans="1:10" ht="12.75" customHeight="1">
      <c r="A933" s="227" t="s">
        <v>150</v>
      </c>
      <c r="B933" s="197"/>
      <c r="C933" s="197"/>
      <c r="D933" s="198"/>
      <c r="E933" s="262"/>
      <c r="F933" s="198"/>
      <c r="G933" s="262"/>
      <c r="H933" s="198"/>
      <c r="I933" s="263"/>
      <c r="J933" s="198"/>
    </row>
    <row r="934" spans="1:10" ht="12.75" customHeight="1">
      <c r="A934" s="265" t="s">
        <v>151</v>
      </c>
      <c r="B934" s="197"/>
      <c r="C934" s="197"/>
      <c r="D934" s="198"/>
      <c r="E934" s="260"/>
      <c r="F934" s="198"/>
      <c r="G934" s="261"/>
      <c r="H934" s="198"/>
      <c r="I934" s="264"/>
      <c r="J934" s="198"/>
    </row>
    <row r="935" spans="1:10" ht="12.75" customHeight="1">
      <c r="A935" s="227" t="s">
        <v>152</v>
      </c>
      <c r="B935" s="197"/>
      <c r="C935" s="197"/>
      <c r="D935" s="198"/>
      <c r="E935" s="262"/>
      <c r="F935" s="198"/>
      <c r="G935" s="262"/>
      <c r="H935" s="198"/>
      <c r="I935" s="263"/>
      <c r="J935" s="198"/>
    </row>
    <row r="936" spans="1:10" ht="12.75" customHeight="1">
      <c r="A936" s="265" t="s">
        <v>153</v>
      </c>
      <c r="B936" s="197"/>
      <c r="C936" s="197"/>
      <c r="D936" s="198"/>
      <c r="E936" s="260"/>
      <c r="F936" s="198"/>
      <c r="G936" s="261"/>
      <c r="H936" s="198"/>
      <c r="I936" s="264"/>
      <c r="J936" s="198"/>
    </row>
    <row r="937" spans="1:10" ht="12.75" customHeight="1">
      <c r="A937" s="227" t="s">
        <v>154</v>
      </c>
      <c r="B937" s="197"/>
      <c r="C937" s="197"/>
      <c r="D937" s="198"/>
      <c r="E937" s="262"/>
      <c r="F937" s="198"/>
      <c r="G937" s="262"/>
      <c r="H937" s="198"/>
      <c r="I937" s="263"/>
      <c r="J937" s="198"/>
    </row>
    <row r="938" spans="1:10" ht="12.75" customHeight="1">
      <c r="A938" s="265" t="s">
        <v>155</v>
      </c>
      <c r="B938" s="197"/>
      <c r="C938" s="197"/>
      <c r="D938" s="198"/>
      <c r="E938" s="260"/>
      <c r="F938" s="198"/>
      <c r="G938" s="261"/>
      <c r="H938" s="198"/>
      <c r="I938" s="264"/>
      <c r="J938" s="198"/>
    </row>
    <row r="939" spans="1:10" ht="12.75" customHeight="1">
      <c r="A939" s="227" t="s">
        <v>156</v>
      </c>
      <c r="B939" s="197"/>
      <c r="C939" s="197"/>
      <c r="D939" s="198"/>
      <c r="E939" s="266"/>
      <c r="F939" s="198"/>
      <c r="G939" s="266"/>
      <c r="H939" s="198"/>
      <c r="I939" s="267"/>
      <c r="J939" s="198"/>
    </row>
    <row r="940" spans="1:10" ht="12.75" customHeight="1">
      <c r="A940" s="259"/>
      <c r="B940" s="197"/>
      <c r="C940" s="197"/>
      <c r="D940" s="198"/>
      <c r="E940" s="260"/>
      <c r="F940" s="198"/>
      <c r="G940" s="261"/>
      <c r="H940" s="198"/>
      <c r="I940" s="261"/>
      <c r="J940" s="198"/>
    </row>
    <row r="941" spans="1:10" ht="12.75" customHeight="1">
      <c r="A941" s="259"/>
      <c r="B941" s="197"/>
      <c r="C941" s="197"/>
      <c r="D941" s="198"/>
      <c r="E941" s="260"/>
      <c r="F941" s="198"/>
      <c r="G941" s="261"/>
      <c r="H941" s="198"/>
      <c r="I941" s="261"/>
      <c r="J941" s="198"/>
    </row>
    <row r="942" spans="1:10" ht="12.75" customHeight="1">
      <c r="A942" s="259"/>
      <c r="B942" s="197"/>
      <c r="C942" s="197"/>
      <c r="D942" s="198"/>
      <c r="E942" s="260"/>
      <c r="F942" s="198"/>
      <c r="G942" s="261"/>
      <c r="H942" s="198"/>
      <c r="I942" s="261"/>
      <c r="J942" s="198"/>
    </row>
    <row r="943" spans="1:10" ht="12.75" customHeight="1">
      <c r="A943" s="231" t="s">
        <v>157</v>
      </c>
      <c r="B943" s="197"/>
      <c r="C943" s="197"/>
      <c r="D943" s="198"/>
      <c r="E943" s="256">
        <f>SUM(E933:E942)</f>
        <v>0</v>
      </c>
      <c r="F943" s="198"/>
      <c r="G943" s="256">
        <f>SUM(G933:G942)</f>
        <v>0</v>
      </c>
      <c r="H943" s="198"/>
      <c r="I943" s="256">
        <f>SUM(I933:I942)</f>
        <v>0</v>
      </c>
      <c r="J943" s="198"/>
    </row>
    <row r="944" spans="1:10" ht="12.75" customHeight="1">
      <c r="A944" s="257" t="s">
        <v>158</v>
      </c>
      <c r="B944" s="177"/>
      <c r="C944" s="177"/>
      <c r="D944" s="177"/>
      <c r="E944" s="177"/>
      <c r="F944" s="177"/>
      <c r="G944" s="177"/>
      <c r="H944" s="177"/>
      <c r="I944" s="177"/>
      <c r="J944" s="178"/>
    </row>
    <row r="945" spans="1:10" ht="12.75" customHeight="1">
      <c r="A945" s="258" t="s">
        <v>159</v>
      </c>
      <c r="B945" s="192"/>
      <c r="C945" s="192"/>
      <c r="D945" s="192"/>
      <c r="E945" s="192"/>
      <c r="F945" s="192"/>
      <c r="G945" s="192"/>
      <c r="H945" s="192"/>
      <c r="I945" s="192"/>
      <c r="J945" s="182"/>
    </row>
    <row r="946" spans="1:10" ht="12.75" customHeight="1">
      <c r="A946" s="258" t="s">
        <v>160</v>
      </c>
      <c r="B946" s="192"/>
      <c r="C946" s="192"/>
      <c r="D946" s="192"/>
      <c r="E946" s="192"/>
      <c r="F946" s="192"/>
      <c r="G946" s="192"/>
      <c r="H946" s="192"/>
      <c r="I946" s="192"/>
      <c r="J946" s="182"/>
    </row>
    <row r="947" spans="1:10" ht="12.75" customHeight="1">
      <c r="A947" s="268" t="s">
        <v>161</v>
      </c>
      <c r="B947" s="188"/>
      <c r="C947" s="188"/>
      <c r="D947" s="188"/>
      <c r="E947" s="188"/>
      <c r="F947" s="188"/>
      <c r="G947" s="188"/>
      <c r="H947" s="188"/>
      <c r="I947" s="188"/>
      <c r="J947" s="189"/>
    </row>
    <row r="948" spans="1:10" ht="12.75" customHeight="1">
      <c r="A948" s="207"/>
      <c r="B948" s="177"/>
      <c r="C948" s="177"/>
      <c r="D948" s="177"/>
      <c r="E948" s="177"/>
      <c r="F948" s="177"/>
      <c r="G948" s="177"/>
      <c r="H948" s="177"/>
      <c r="I948" s="177"/>
      <c r="J948" s="178"/>
    </row>
    <row r="949" spans="1:10" ht="12.75" customHeight="1">
      <c r="A949" s="183"/>
      <c r="B949" s="181"/>
      <c r="C949" s="181"/>
      <c r="D949" s="181"/>
      <c r="E949" s="181"/>
      <c r="F949" s="181"/>
      <c r="G949" s="181"/>
      <c r="H949" s="181"/>
      <c r="I949" s="181"/>
      <c r="J949" s="182"/>
    </row>
    <row r="950" spans="1:10" ht="12.75" customHeight="1">
      <c r="A950" s="183"/>
      <c r="B950" s="181"/>
      <c r="C950" s="181"/>
      <c r="D950" s="181"/>
      <c r="E950" s="181"/>
      <c r="F950" s="181"/>
      <c r="G950" s="181"/>
      <c r="H950" s="181"/>
      <c r="I950" s="181"/>
      <c r="J950" s="182"/>
    </row>
    <row r="951" spans="1:10" ht="12.75" customHeight="1">
      <c r="A951" s="183"/>
      <c r="B951" s="181"/>
      <c r="C951" s="181"/>
      <c r="D951" s="181"/>
      <c r="E951" s="181"/>
      <c r="F951" s="181"/>
      <c r="G951" s="181"/>
      <c r="H951" s="181"/>
      <c r="I951" s="181"/>
      <c r="J951" s="182"/>
    </row>
    <row r="952" spans="1:10" ht="12.75" customHeight="1">
      <c r="A952" s="183"/>
      <c r="B952" s="181"/>
      <c r="C952" s="181"/>
      <c r="D952" s="181"/>
      <c r="E952" s="181"/>
      <c r="F952" s="181"/>
      <c r="G952" s="181"/>
      <c r="H952" s="181"/>
      <c r="I952" s="181"/>
      <c r="J952" s="182"/>
    </row>
    <row r="953" spans="1:10" ht="12.75" customHeight="1">
      <c r="A953" s="183"/>
      <c r="B953" s="181"/>
      <c r="C953" s="181"/>
      <c r="D953" s="181"/>
      <c r="E953" s="181"/>
      <c r="F953" s="181"/>
      <c r="G953" s="181"/>
      <c r="H953" s="181"/>
      <c r="I953" s="181"/>
      <c r="J953" s="182"/>
    </row>
    <row r="954" spans="1:10" ht="12.75" customHeight="1">
      <c r="A954" s="183"/>
      <c r="B954" s="181"/>
      <c r="C954" s="181"/>
      <c r="D954" s="181"/>
      <c r="E954" s="181"/>
      <c r="F954" s="181"/>
      <c r="G954" s="181"/>
      <c r="H954" s="181"/>
      <c r="I954" s="181"/>
      <c r="J954" s="182"/>
    </row>
    <row r="955" spans="1:10" ht="12.75" customHeight="1">
      <c r="A955" s="183"/>
      <c r="B955" s="181"/>
      <c r="C955" s="181"/>
      <c r="D955" s="181"/>
      <c r="E955" s="181"/>
      <c r="F955" s="181"/>
      <c r="G955" s="181"/>
      <c r="H955" s="181"/>
      <c r="I955" s="181"/>
      <c r="J955" s="182"/>
    </row>
    <row r="956" spans="1:10" ht="12.75" customHeight="1">
      <c r="A956" s="183"/>
      <c r="B956" s="181"/>
      <c r="C956" s="181"/>
      <c r="D956" s="181"/>
      <c r="E956" s="181"/>
      <c r="F956" s="181"/>
      <c r="G956" s="181"/>
      <c r="H956" s="181"/>
      <c r="I956" s="181"/>
      <c r="J956" s="182"/>
    </row>
    <row r="957" spans="1:10" ht="12.75" customHeight="1">
      <c r="A957" s="183"/>
      <c r="B957" s="181"/>
      <c r="C957" s="181"/>
      <c r="D957" s="181"/>
      <c r="E957" s="181"/>
      <c r="F957" s="181"/>
      <c r="G957" s="181"/>
      <c r="H957" s="181"/>
      <c r="I957" s="181"/>
      <c r="J957" s="182"/>
    </row>
    <row r="958" spans="1:10" ht="12.75" customHeight="1">
      <c r="A958" s="183"/>
      <c r="B958" s="181"/>
      <c r="C958" s="181"/>
      <c r="D958" s="181"/>
      <c r="E958" s="181"/>
      <c r="F958" s="181"/>
      <c r="G958" s="181"/>
      <c r="H958" s="181"/>
      <c r="I958" s="181"/>
      <c r="J958" s="182"/>
    </row>
    <row r="959" spans="1:10" ht="12.75" customHeight="1">
      <c r="A959" s="183"/>
      <c r="B959" s="181"/>
      <c r="C959" s="181"/>
      <c r="D959" s="181"/>
      <c r="E959" s="181"/>
      <c r="F959" s="181"/>
      <c r="G959" s="181"/>
      <c r="H959" s="181"/>
      <c r="I959" s="181"/>
      <c r="J959" s="182"/>
    </row>
    <row r="960" spans="1:10" ht="12.75" customHeight="1">
      <c r="A960" s="183"/>
      <c r="B960" s="181"/>
      <c r="C960" s="181"/>
      <c r="D960" s="181"/>
      <c r="E960" s="181"/>
      <c r="F960" s="181"/>
      <c r="G960" s="181"/>
      <c r="H960" s="181"/>
      <c r="I960" s="181"/>
      <c r="J960" s="182"/>
    </row>
    <row r="961" spans="1:10" ht="12.75" customHeight="1">
      <c r="A961" s="183"/>
      <c r="B961" s="181"/>
      <c r="C961" s="181"/>
      <c r="D961" s="181"/>
      <c r="E961" s="181"/>
      <c r="F961" s="181"/>
      <c r="G961" s="181"/>
      <c r="H961" s="181"/>
      <c r="I961" s="181"/>
      <c r="J961" s="182"/>
    </row>
    <row r="962" spans="1:10" ht="12.75" customHeight="1">
      <c r="A962" s="183"/>
      <c r="B962" s="181"/>
      <c r="C962" s="181"/>
      <c r="D962" s="181"/>
      <c r="E962" s="181"/>
      <c r="F962" s="181"/>
      <c r="G962" s="181"/>
      <c r="H962" s="181"/>
      <c r="I962" s="181"/>
      <c r="J962" s="182"/>
    </row>
    <row r="963" spans="1:10" ht="12.75" customHeight="1">
      <c r="A963" s="183"/>
      <c r="B963" s="181"/>
      <c r="C963" s="181"/>
      <c r="D963" s="181"/>
      <c r="E963" s="181"/>
      <c r="F963" s="181"/>
      <c r="G963" s="181"/>
      <c r="H963" s="181"/>
      <c r="I963" s="181"/>
      <c r="J963" s="182"/>
    </row>
    <row r="964" spans="1:10" ht="12.75" customHeight="1">
      <c r="A964" s="183"/>
      <c r="B964" s="181"/>
      <c r="C964" s="181"/>
      <c r="D964" s="181"/>
      <c r="E964" s="181"/>
      <c r="F964" s="181"/>
      <c r="G964" s="181"/>
      <c r="H964" s="181"/>
      <c r="I964" s="181"/>
      <c r="J964" s="182"/>
    </row>
    <row r="965" spans="1:10" ht="12.75" customHeight="1">
      <c r="A965" s="183"/>
      <c r="B965" s="181"/>
      <c r="C965" s="181"/>
      <c r="D965" s="181"/>
      <c r="E965" s="181"/>
      <c r="F965" s="181"/>
      <c r="G965" s="181"/>
      <c r="H965" s="181"/>
      <c r="I965" s="181"/>
      <c r="J965" s="182"/>
    </row>
    <row r="966" spans="1:10" ht="12.75" customHeight="1">
      <c r="A966" s="183"/>
      <c r="B966" s="181"/>
      <c r="C966" s="181"/>
      <c r="D966" s="181"/>
      <c r="E966" s="181"/>
      <c r="F966" s="181"/>
      <c r="G966" s="181"/>
      <c r="H966" s="181"/>
      <c r="I966" s="181"/>
      <c r="J966" s="182"/>
    </row>
    <row r="967" spans="1:10" ht="12.75" customHeight="1">
      <c r="A967" s="183"/>
      <c r="B967" s="181"/>
      <c r="C967" s="181"/>
      <c r="D967" s="181"/>
      <c r="E967" s="181"/>
      <c r="F967" s="181"/>
      <c r="G967" s="181"/>
      <c r="H967" s="181"/>
      <c r="I967" s="181"/>
      <c r="J967" s="182"/>
    </row>
    <row r="968" spans="1:10" ht="12.75" customHeight="1">
      <c r="A968" s="183"/>
      <c r="B968" s="181"/>
      <c r="C968" s="181"/>
      <c r="D968" s="181"/>
      <c r="E968" s="181"/>
      <c r="F968" s="181"/>
      <c r="G968" s="181"/>
      <c r="H968" s="181"/>
      <c r="I968" s="181"/>
      <c r="J968" s="182"/>
    </row>
    <row r="969" spans="1:10" ht="12.75" customHeight="1">
      <c r="A969" s="183"/>
      <c r="B969" s="181"/>
      <c r="C969" s="181"/>
      <c r="D969" s="181"/>
      <c r="E969" s="181"/>
      <c r="F969" s="181"/>
      <c r="G969" s="181"/>
      <c r="H969" s="181"/>
      <c r="I969" s="181"/>
      <c r="J969" s="182"/>
    </row>
    <row r="970" spans="1:10" ht="12.75" customHeight="1">
      <c r="A970" s="183"/>
      <c r="B970" s="181"/>
      <c r="C970" s="181"/>
      <c r="D970" s="181"/>
      <c r="E970" s="181"/>
      <c r="F970" s="181"/>
      <c r="G970" s="181"/>
      <c r="H970" s="181"/>
      <c r="I970" s="181"/>
      <c r="J970" s="182"/>
    </row>
    <row r="971" spans="1:10" ht="12.75" customHeight="1">
      <c r="A971" s="183"/>
      <c r="B971" s="181"/>
      <c r="C971" s="181"/>
      <c r="D971" s="181"/>
      <c r="E971" s="181"/>
      <c r="F971" s="181"/>
      <c r="G971" s="181"/>
      <c r="H971" s="181"/>
      <c r="I971" s="181"/>
      <c r="J971" s="182"/>
    </row>
    <row r="972" spans="1:10" ht="12.75" customHeight="1">
      <c r="A972" s="183"/>
      <c r="B972" s="181"/>
      <c r="C972" s="181"/>
      <c r="D972" s="181"/>
      <c r="E972" s="181"/>
      <c r="F972" s="181"/>
      <c r="G972" s="181"/>
      <c r="H972" s="181"/>
      <c r="I972" s="181"/>
      <c r="J972" s="182"/>
    </row>
    <row r="973" spans="1:10" ht="12.75" customHeight="1">
      <c r="A973" s="183"/>
      <c r="B973" s="181"/>
      <c r="C973" s="181"/>
      <c r="D973" s="181"/>
      <c r="E973" s="181"/>
      <c r="F973" s="181"/>
      <c r="G973" s="181"/>
      <c r="H973" s="181"/>
      <c r="I973" s="181"/>
      <c r="J973" s="182"/>
    </row>
    <row r="974" spans="1:10" ht="12.75" customHeight="1">
      <c r="A974" s="183"/>
      <c r="B974" s="181"/>
      <c r="C974" s="181"/>
      <c r="D974" s="181"/>
      <c r="E974" s="181"/>
      <c r="F974" s="181"/>
      <c r="G974" s="181"/>
      <c r="H974" s="181"/>
      <c r="I974" s="181"/>
      <c r="J974" s="182"/>
    </row>
    <row r="975" spans="1:10" ht="12.75" customHeight="1">
      <c r="A975" s="183"/>
      <c r="B975" s="181"/>
      <c r="C975" s="181"/>
      <c r="D975" s="181"/>
      <c r="E975" s="181"/>
      <c r="F975" s="181"/>
      <c r="G975" s="181"/>
      <c r="H975" s="181"/>
      <c r="I975" s="181"/>
      <c r="J975" s="182"/>
    </row>
    <row r="976" spans="1:10" ht="12.75" customHeight="1">
      <c r="A976" s="183"/>
      <c r="B976" s="181"/>
      <c r="C976" s="181"/>
      <c r="D976" s="181"/>
      <c r="E976" s="181"/>
      <c r="F976" s="181"/>
      <c r="G976" s="181"/>
      <c r="H976" s="181"/>
      <c r="I976" s="181"/>
      <c r="J976" s="182"/>
    </row>
    <row r="977" spans="1:10" ht="12.75" customHeight="1">
      <c r="A977" s="183"/>
      <c r="B977" s="181"/>
      <c r="C977" s="181"/>
      <c r="D977" s="181"/>
      <c r="E977" s="181"/>
      <c r="F977" s="181"/>
      <c r="G977" s="181"/>
      <c r="H977" s="181"/>
      <c r="I977" s="181"/>
      <c r="J977" s="182"/>
    </row>
    <row r="978" spans="1:10" ht="12.75" customHeight="1">
      <c r="A978" s="183"/>
      <c r="B978" s="181"/>
      <c r="C978" s="181"/>
      <c r="D978" s="181"/>
      <c r="E978" s="181"/>
      <c r="F978" s="181"/>
      <c r="G978" s="181"/>
      <c r="H978" s="181"/>
      <c r="I978" s="181"/>
      <c r="J978" s="182"/>
    </row>
    <row r="979" spans="1:10" ht="12.75" customHeight="1">
      <c r="A979" s="183"/>
      <c r="B979" s="181"/>
      <c r="C979" s="181"/>
      <c r="D979" s="181"/>
      <c r="E979" s="181"/>
      <c r="F979" s="181"/>
      <c r="G979" s="181"/>
      <c r="H979" s="181"/>
      <c r="I979" s="181"/>
      <c r="J979" s="182"/>
    </row>
    <row r="980" spans="1:10" ht="12.75" customHeight="1">
      <c r="A980" s="183"/>
      <c r="B980" s="181"/>
      <c r="C980" s="181"/>
      <c r="D980" s="181"/>
      <c r="E980" s="181"/>
      <c r="F980" s="181"/>
      <c r="G980" s="181"/>
      <c r="H980" s="181"/>
      <c r="I980" s="181"/>
      <c r="J980" s="182"/>
    </row>
    <row r="981" spans="1:10" ht="12.75" customHeight="1">
      <c r="A981" s="183"/>
      <c r="B981" s="181"/>
      <c r="C981" s="181"/>
      <c r="D981" s="181"/>
      <c r="E981" s="181"/>
      <c r="F981" s="181"/>
      <c r="G981" s="181"/>
      <c r="H981" s="181"/>
      <c r="I981" s="181"/>
      <c r="J981" s="182"/>
    </row>
    <row r="982" spans="1:10" ht="12.75" customHeight="1">
      <c r="A982" s="201"/>
      <c r="B982" s="188"/>
      <c r="C982" s="188"/>
      <c r="D982" s="188"/>
      <c r="E982" s="188"/>
      <c r="F982" s="188"/>
      <c r="G982" s="188"/>
      <c r="H982" s="188"/>
      <c r="I982" s="188"/>
      <c r="J982" s="18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8F5B-1F61-442B-8D4F-9F2F74918AFD}">
  <dimension ref="A1:Z1049"/>
  <sheetViews>
    <sheetView showGridLines="0" topLeftCell="A448" zoomScaleNormal="100" workbookViewId="0">
      <selection activeCell="A369" sqref="A369:J403"/>
    </sheetView>
  </sheetViews>
  <sheetFormatPr defaultColWidth="12.54296875" defaultRowHeight="15" customHeight="1"/>
  <cols>
    <col min="1" max="1" width="10.453125" style="151" customWidth="1"/>
    <col min="2" max="5" width="8.81640625" style="151" customWidth="1"/>
    <col min="6" max="6" width="8" style="151" customWidth="1"/>
    <col min="7" max="9" width="8.81640625" style="151" customWidth="1"/>
    <col min="10" max="10" width="9" style="151" customWidth="1"/>
    <col min="11" max="12" width="8.81640625" style="151" customWidth="1"/>
    <col min="13" max="13" width="9.1796875" style="151" customWidth="1"/>
    <col min="14" max="26" width="8.81640625" style="151" customWidth="1"/>
    <col min="27" max="16384" width="12.54296875" style="151"/>
  </cols>
  <sheetData>
    <row r="1" spans="1:10" ht="15.75" customHeight="1">
      <c r="A1" s="286" t="s">
        <v>69</v>
      </c>
      <c r="B1" s="287"/>
      <c r="C1" s="287"/>
      <c r="D1" s="287"/>
      <c r="E1" s="287"/>
      <c r="F1" s="287"/>
      <c r="G1" s="287"/>
      <c r="H1" s="288" t="str">
        <f>'[1]CONTACT INFORMATION'!$A$24</f>
        <v>San Francisco</v>
      </c>
      <c r="I1" s="287"/>
      <c r="J1" s="289"/>
    </row>
    <row r="2" spans="1:10" ht="9" customHeight="1"/>
    <row r="3" spans="1:10" ht="12" customHeight="1">
      <c r="A3" s="290" t="s">
        <v>70</v>
      </c>
      <c r="B3" s="291"/>
      <c r="C3" s="291"/>
      <c r="D3" s="291"/>
      <c r="E3" s="291"/>
      <c r="F3" s="291"/>
      <c r="G3" s="291"/>
      <c r="H3" s="291"/>
      <c r="I3" s="291"/>
      <c r="J3" s="291"/>
    </row>
    <row r="4" spans="1:10" ht="13.5" customHeight="1">
      <c r="A4" s="291"/>
      <c r="B4" s="291"/>
      <c r="C4" s="291"/>
      <c r="D4" s="291"/>
      <c r="E4" s="291"/>
      <c r="F4" s="291"/>
      <c r="G4" s="291"/>
      <c r="H4" s="291"/>
      <c r="I4" s="291"/>
      <c r="J4" s="291"/>
    </row>
    <row r="5" spans="1:10" ht="13.5" customHeight="1">
      <c r="A5" s="291"/>
      <c r="B5" s="291"/>
      <c r="C5" s="291"/>
      <c r="D5" s="291"/>
      <c r="E5" s="291"/>
      <c r="F5" s="291"/>
      <c r="G5" s="291"/>
      <c r="H5" s="291"/>
      <c r="I5" s="291"/>
      <c r="J5" s="291"/>
    </row>
    <row r="6" spans="1:10" ht="13.5" customHeight="1">
      <c r="A6" s="291"/>
      <c r="B6" s="291"/>
      <c r="C6" s="291"/>
      <c r="D6" s="291"/>
      <c r="E6" s="291"/>
      <c r="F6" s="291"/>
      <c r="G6" s="291"/>
      <c r="H6" s="291"/>
      <c r="I6" s="291"/>
      <c r="J6" s="291"/>
    </row>
    <row r="7" spans="1:10" ht="9" customHeight="1">
      <c r="A7" s="291"/>
      <c r="B7" s="291"/>
      <c r="C7" s="291"/>
      <c r="D7" s="291"/>
      <c r="E7" s="291"/>
      <c r="F7" s="291"/>
      <c r="G7" s="291"/>
      <c r="H7" s="291"/>
      <c r="I7" s="291"/>
      <c r="J7" s="291"/>
    </row>
    <row r="8" spans="1:10" ht="10.5" customHeight="1"/>
    <row r="9" spans="1:10" ht="13.5" customHeight="1">
      <c r="A9" s="292" t="s">
        <v>71</v>
      </c>
      <c r="B9" s="291"/>
      <c r="C9" s="291"/>
      <c r="D9" s="291"/>
      <c r="E9" s="291"/>
      <c r="F9" s="291"/>
      <c r="G9" s="291"/>
      <c r="H9" s="291"/>
      <c r="I9" s="291"/>
      <c r="J9" s="291"/>
    </row>
    <row r="10" spans="1:10" ht="13.5" customHeight="1">
      <c r="A10" s="291"/>
      <c r="B10" s="291"/>
      <c r="C10" s="291"/>
      <c r="D10" s="291"/>
      <c r="E10" s="291"/>
      <c r="F10" s="291"/>
      <c r="G10" s="291"/>
      <c r="H10" s="291"/>
      <c r="I10" s="291"/>
      <c r="J10" s="291"/>
    </row>
    <row r="11" spans="1:10" ht="13.5" customHeight="1">
      <c r="A11" s="291"/>
      <c r="B11" s="291"/>
      <c r="C11" s="291"/>
      <c r="D11" s="291"/>
      <c r="E11" s="291"/>
      <c r="F11" s="291"/>
      <c r="G11" s="291"/>
      <c r="H11" s="291"/>
      <c r="I11" s="291"/>
      <c r="J11" s="291"/>
    </row>
    <row r="12" spans="1:10" ht="12.75" customHeight="1">
      <c r="A12" s="156"/>
      <c r="B12" s="156"/>
      <c r="C12" s="156"/>
      <c r="D12" s="156"/>
      <c r="E12" s="156"/>
      <c r="F12" s="156"/>
      <c r="G12" s="156"/>
      <c r="H12" s="156"/>
      <c r="I12" s="156"/>
      <c r="J12" s="156"/>
    </row>
    <row r="13" spans="1:10" ht="12.75" customHeight="1">
      <c r="A13" s="293" t="s">
        <v>72</v>
      </c>
      <c r="B13" s="291"/>
      <c r="C13" s="291"/>
      <c r="D13" s="291"/>
      <c r="E13" s="291"/>
      <c r="F13" s="291"/>
      <c r="G13" s="291"/>
      <c r="H13" s="291"/>
      <c r="I13" s="291"/>
      <c r="J13" s="291"/>
    </row>
    <row r="14" spans="1:10" ht="18" customHeight="1" thickBot="1">
      <c r="A14" s="175"/>
      <c r="B14" s="173" t="s">
        <v>73</v>
      </c>
      <c r="C14" s="294" t="s">
        <v>74</v>
      </c>
      <c r="D14" s="295"/>
      <c r="E14" s="295"/>
      <c r="F14" s="174"/>
      <c r="G14" s="173" t="s">
        <v>73</v>
      </c>
      <c r="H14" s="294" t="s">
        <v>74</v>
      </c>
      <c r="I14" s="295"/>
      <c r="J14" s="295"/>
    </row>
    <row r="15" spans="1:10" ht="12" customHeight="1">
      <c r="A15" s="172" t="s">
        <v>75</v>
      </c>
      <c r="B15" s="171">
        <v>1</v>
      </c>
      <c r="C15" s="170" t="s">
        <v>76</v>
      </c>
      <c r="F15" s="170"/>
      <c r="G15" s="171">
        <v>5</v>
      </c>
      <c r="H15" s="170" t="s">
        <v>77</v>
      </c>
      <c r="I15" s="170"/>
      <c r="J15" s="170"/>
    </row>
    <row r="16" spans="1:10" ht="12" customHeight="1">
      <c r="A16" s="170"/>
      <c r="B16" s="171">
        <v>2</v>
      </c>
      <c r="C16" s="170" t="s">
        <v>78</v>
      </c>
      <c r="F16" s="170"/>
      <c r="G16" s="171">
        <v>6</v>
      </c>
      <c r="H16" s="170" t="s">
        <v>79</v>
      </c>
      <c r="I16" s="170"/>
      <c r="J16" s="170"/>
    </row>
    <row r="17" spans="1:10" ht="12" customHeight="1">
      <c r="A17" s="170"/>
      <c r="B17" s="171">
        <v>3</v>
      </c>
      <c r="C17" s="170" t="s">
        <v>80</v>
      </c>
      <c r="F17" s="170"/>
      <c r="G17" s="171">
        <v>7</v>
      </c>
      <c r="H17" s="170" t="s">
        <v>81</v>
      </c>
      <c r="I17" s="170"/>
      <c r="J17" s="170"/>
    </row>
    <row r="18" spans="1:10" ht="12" customHeight="1">
      <c r="A18" s="170"/>
      <c r="B18" s="171">
        <v>4</v>
      </c>
      <c r="C18" s="170" t="s">
        <v>82</v>
      </c>
      <c r="F18" s="170"/>
      <c r="G18" s="170"/>
      <c r="H18" s="170"/>
      <c r="I18" s="170"/>
      <c r="J18" s="170"/>
    </row>
    <row r="19" spans="1:10" ht="10.5" customHeight="1">
      <c r="A19" s="170"/>
      <c r="B19" s="171"/>
      <c r="C19" s="170"/>
      <c r="F19" s="170"/>
      <c r="G19" s="170"/>
      <c r="H19" s="170"/>
      <c r="I19" s="170"/>
      <c r="J19" s="170"/>
    </row>
    <row r="20" spans="1:10" ht="12" customHeight="1" thickBot="1">
      <c r="A20" s="175"/>
      <c r="B20" s="173" t="s">
        <v>73</v>
      </c>
      <c r="C20" s="294" t="s">
        <v>74</v>
      </c>
      <c r="D20" s="295"/>
      <c r="E20" s="295"/>
      <c r="F20" s="174"/>
      <c r="G20" s="173" t="s">
        <v>73</v>
      </c>
      <c r="H20" s="294" t="s">
        <v>74</v>
      </c>
      <c r="I20" s="295"/>
      <c r="J20" s="295"/>
    </row>
    <row r="21" spans="1:10" ht="12" customHeight="1">
      <c r="A21" s="172" t="s">
        <v>83</v>
      </c>
      <c r="B21" s="171">
        <v>8</v>
      </c>
      <c r="C21" s="170" t="s">
        <v>84</v>
      </c>
      <c r="F21" s="170"/>
      <c r="G21" s="171">
        <v>26</v>
      </c>
      <c r="H21" s="170" t="s">
        <v>85</v>
      </c>
      <c r="I21" s="170"/>
      <c r="J21" s="170"/>
    </row>
    <row r="22" spans="1:10" ht="12" customHeight="1">
      <c r="A22" s="172" t="s">
        <v>86</v>
      </c>
      <c r="B22" s="171">
        <v>9</v>
      </c>
      <c r="C22" s="170" t="s">
        <v>87</v>
      </c>
      <c r="F22" s="170"/>
      <c r="G22" s="171"/>
      <c r="H22" s="170" t="s">
        <v>88</v>
      </c>
      <c r="I22" s="170"/>
      <c r="J22" s="170"/>
    </row>
    <row r="23" spans="1:10" ht="12" customHeight="1">
      <c r="B23" s="171">
        <v>10</v>
      </c>
      <c r="C23" s="170" t="s">
        <v>89</v>
      </c>
      <c r="F23" s="170"/>
      <c r="G23" s="171">
        <v>27</v>
      </c>
      <c r="H23" s="170" t="s">
        <v>90</v>
      </c>
      <c r="I23" s="170"/>
      <c r="J23" s="170"/>
    </row>
    <row r="24" spans="1:10" ht="12" customHeight="1">
      <c r="A24" s="170"/>
      <c r="B24" s="171">
        <v>11</v>
      </c>
      <c r="C24" s="170" t="s">
        <v>91</v>
      </c>
      <c r="F24" s="170"/>
      <c r="G24" s="171">
        <v>28</v>
      </c>
      <c r="H24" s="170" t="s">
        <v>92</v>
      </c>
      <c r="I24" s="170"/>
      <c r="J24" s="170"/>
    </row>
    <row r="25" spans="1:10" ht="12" customHeight="1">
      <c r="A25" s="170"/>
      <c r="B25" s="171">
        <v>12</v>
      </c>
      <c r="C25" s="170" t="s">
        <v>93</v>
      </c>
      <c r="F25" s="170"/>
      <c r="G25" s="171">
        <v>29</v>
      </c>
      <c r="H25" s="170" t="s">
        <v>94</v>
      </c>
      <c r="I25" s="170"/>
      <c r="J25" s="170"/>
    </row>
    <row r="26" spans="1:10" ht="12" customHeight="1">
      <c r="A26" s="170"/>
      <c r="B26" s="171">
        <v>13</v>
      </c>
      <c r="C26" s="170" t="s">
        <v>95</v>
      </c>
      <c r="F26" s="170"/>
      <c r="G26" s="171">
        <v>30</v>
      </c>
      <c r="H26" s="170" t="s">
        <v>96</v>
      </c>
      <c r="I26" s="170"/>
      <c r="J26" s="170"/>
    </row>
    <row r="27" spans="1:10" ht="12" customHeight="1">
      <c r="A27" s="170"/>
      <c r="B27" s="171">
        <v>14</v>
      </c>
      <c r="C27" s="170" t="s">
        <v>97</v>
      </c>
      <c r="F27" s="170"/>
      <c r="G27" s="171">
        <v>31</v>
      </c>
      <c r="H27" s="170" t="s">
        <v>98</v>
      </c>
      <c r="I27" s="170"/>
      <c r="J27" s="170"/>
    </row>
    <row r="28" spans="1:10" ht="12" customHeight="1">
      <c r="A28" s="170"/>
      <c r="B28" s="171">
        <v>15</v>
      </c>
      <c r="C28" s="170" t="s">
        <v>99</v>
      </c>
      <c r="F28" s="170"/>
      <c r="G28" s="171">
        <v>32</v>
      </c>
      <c r="H28" s="170" t="s">
        <v>100</v>
      </c>
      <c r="I28" s="170"/>
      <c r="J28" s="170"/>
    </row>
    <row r="29" spans="1:10" ht="12" customHeight="1">
      <c r="A29" s="170"/>
      <c r="B29" s="171">
        <v>16</v>
      </c>
      <c r="C29" s="170" t="s">
        <v>101</v>
      </c>
      <c r="F29" s="170"/>
      <c r="G29" s="171">
        <v>33</v>
      </c>
      <c r="H29" s="170" t="s">
        <v>102</v>
      </c>
      <c r="I29" s="170"/>
      <c r="J29" s="170"/>
    </row>
    <row r="30" spans="1:10" ht="12" customHeight="1">
      <c r="A30" s="170"/>
      <c r="B30" s="171">
        <v>17</v>
      </c>
      <c r="C30" s="170" t="s">
        <v>103</v>
      </c>
      <c r="F30" s="170"/>
      <c r="G30" s="171">
        <v>34</v>
      </c>
      <c r="H30" s="170" t="s">
        <v>104</v>
      </c>
      <c r="I30" s="170"/>
      <c r="J30" s="170"/>
    </row>
    <row r="31" spans="1:10" ht="12" customHeight="1">
      <c r="A31" s="170"/>
      <c r="B31" s="171">
        <v>18</v>
      </c>
      <c r="C31" s="170" t="s">
        <v>105</v>
      </c>
      <c r="F31" s="170"/>
      <c r="G31" s="171">
        <v>35</v>
      </c>
      <c r="H31" s="170" t="s">
        <v>106</v>
      </c>
      <c r="I31" s="170"/>
      <c r="J31" s="170"/>
    </row>
    <row r="32" spans="1:10" ht="12" customHeight="1">
      <c r="A32" s="170"/>
      <c r="B32" s="171">
        <v>19</v>
      </c>
      <c r="C32" s="170" t="s">
        <v>107</v>
      </c>
      <c r="F32" s="170"/>
      <c r="G32" s="171">
        <v>36</v>
      </c>
      <c r="H32" s="170" t="s">
        <v>108</v>
      </c>
      <c r="I32" s="170"/>
      <c r="J32" s="170"/>
    </row>
    <row r="33" spans="1:10" ht="12" customHeight="1">
      <c r="A33" s="170"/>
      <c r="B33" s="171">
        <v>20</v>
      </c>
      <c r="C33" s="170" t="s">
        <v>109</v>
      </c>
      <c r="F33" s="170"/>
      <c r="G33" s="171">
        <v>37</v>
      </c>
      <c r="H33" s="170" t="s">
        <v>110</v>
      </c>
      <c r="I33" s="170"/>
      <c r="J33" s="170"/>
    </row>
    <row r="34" spans="1:10" ht="12" customHeight="1">
      <c r="A34" s="170"/>
      <c r="B34" s="171">
        <v>21</v>
      </c>
      <c r="C34" s="170" t="s">
        <v>111</v>
      </c>
      <c r="F34" s="170"/>
      <c r="G34" s="171">
        <v>38</v>
      </c>
      <c r="H34" s="170" t="s">
        <v>112</v>
      </c>
      <c r="I34" s="170"/>
      <c r="J34" s="170"/>
    </row>
    <row r="35" spans="1:10" ht="12" customHeight="1">
      <c r="A35" s="170"/>
      <c r="B35" s="171">
        <v>22</v>
      </c>
      <c r="C35" s="170" t="s">
        <v>113</v>
      </c>
      <c r="F35" s="170"/>
      <c r="G35" s="171">
        <v>39</v>
      </c>
      <c r="H35" s="170" t="s">
        <v>114</v>
      </c>
      <c r="I35" s="170"/>
      <c r="J35" s="170"/>
    </row>
    <row r="36" spans="1:10" ht="12" customHeight="1">
      <c r="A36" s="170"/>
      <c r="B36" s="171">
        <v>23</v>
      </c>
      <c r="C36" s="170" t="s">
        <v>115</v>
      </c>
      <c r="F36" s="170"/>
      <c r="G36" s="171">
        <v>40</v>
      </c>
      <c r="H36" s="170" t="s">
        <v>116</v>
      </c>
      <c r="I36" s="170"/>
      <c r="J36" s="170"/>
    </row>
    <row r="37" spans="1:10" ht="12" customHeight="1">
      <c r="A37" s="170"/>
      <c r="B37" s="171">
        <v>24</v>
      </c>
      <c r="C37" s="170" t="s">
        <v>117</v>
      </c>
      <c r="F37" s="170"/>
      <c r="G37" s="171">
        <v>41</v>
      </c>
      <c r="H37" s="170" t="s">
        <v>118</v>
      </c>
      <c r="I37" s="170"/>
      <c r="J37" s="170"/>
    </row>
    <row r="38" spans="1:10" ht="12" customHeight="1">
      <c r="A38" s="170"/>
      <c r="B38" s="171">
        <v>25</v>
      </c>
      <c r="C38" s="170" t="s">
        <v>119</v>
      </c>
      <c r="F38" s="170"/>
      <c r="G38" s="171">
        <v>42</v>
      </c>
      <c r="H38" s="170" t="s">
        <v>120</v>
      </c>
      <c r="I38" s="170"/>
      <c r="J38" s="170"/>
    </row>
    <row r="39" spans="1:10" ht="12" customHeight="1">
      <c r="A39" s="170"/>
      <c r="B39" s="171"/>
      <c r="C39" s="170"/>
      <c r="F39" s="170"/>
      <c r="G39" s="171">
        <v>43</v>
      </c>
      <c r="H39" s="170" t="s">
        <v>121</v>
      </c>
      <c r="I39" s="170"/>
      <c r="J39" s="170"/>
    </row>
    <row r="40" spans="1:10" ht="12" customHeight="1">
      <c r="A40" s="170"/>
      <c r="B40" s="171"/>
      <c r="C40" s="170"/>
      <c r="F40" s="170"/>
      <c r="G40" s="171"/>
      <c r="H40" s="170"/>
      <c r="I40" s="170"/>
      <c r="J40" s="170"/>
    </row>
    <row r="41" spans="1:10" ht="12" customHeight="1" thickBot="1">
      <c r="A41" s="175"/>
      <c r="B41" s="173" t="s">
        <v>73</v>
      </c>
      <c r="C41" s="294" t="s">
        <v>74</v>
      </c>
      <c r="D41" s="295"/>
      <c r="E41" s="295"/>
      <c r="F41" s="174"/>
      <c r="G41" s="173" t="s">
        <v>73</v>
      </c>
      <c r="H41" s="294" t="s">
        <v>74</v>
      </c>
      <c r="I41" s="295"/>
      <c r="J41" s="295"/>
    </row>
    <row r="42" spans="1:10" ht="12" customHeight="1">
      <c r="A42" s="172" t="s">
        <v>122</v>
      </c>
      <c r="B42" s="171">
        <v>44</v>
      </c>
      <c r="C42" s="170" t="s">
        <v>123</v>
      </c>
      <c r="F42" s="170"/>
      <c r="G42" s="171">
        <v>48</v>
      </c>
      <c r="H42" s="170" t="s">
        <v>124</v>
      </c>
      <c r="I42" s="170"/>
      <c r="J42" s="170"/>
    </row>
    <row r="43" spans="1:10" ht="12" customHeight="1">
      <c r="A43" s="172" t="s">
        <v>125</v>
      </c>
      <c r="B43" s="171">
        <v>45</v>
      </c>
      <c r="C43" s="170" t="s">
        <v>126</v>
      </c>
      <c r="F43" s="170"/>
      <c r="G43" s="171">
        <v>49</v>
      </c>
      <c r="H43" s="170" t="s">
        <v>127</v>
      </c>
      <c r="I43" s="170"/>
      <c r="J43" s="170"/>
    </row>
    <row r="44" spans="1:10" ht="12" customHeight="1">
      <c r="A44" s="172" t="s">
        <v>128</v>
      </c>
      <c r="B44" s="171">
        <v>46</v>
      </c>
      <c r="C44" s="170" t="s">
        <v>129</v>
      </c>
      <c r="F44" s="170"/>
      <c r="G44" s="171">
        <v>50</v>
      </c>
      <c r="H44" s="170" t="s">
        <v>130</v>
      </c>
      <c r="I44" s="170"/>
      <c r="J44" s="170"/>
    </row>
    <row r="45" spans="1:10" ht="12" customHeight="1">
      <c r="A45" s="172" t="s">
        <v>131</v>
      </c>
      <c r="B45" s="171">
        <v>47</v>
      </c>
      <c r="C45" s="170" t="s">
        <v>132</v>
      </c>
      <c r="F45" s="170"/>
      <c r="G45" s="171"/>
      <c r="H45" s="170"/>
      <c r="I45" s="170"/>
      <c r="J45" s="170"/>
    </row>
    <row r="46" spans="1:10" ht="12.75" customHeight="1">
      <c r="A46" s="170"/>
      <c r="B46" s="170"/>
      <c r="C46" s="170"/>
      <c r="F46" s="170"/>
      <c r="G46" s="170"/>
      <c r="H46" s="170"/>
      <c r="I46" s="170"/>
      <c r="J46" s="170"/>
    </row>
    <row r="47" spans="1:10" ht="12.75" customHeight="1">
      <c r="A47" s="292" t="s">
        <v>133</v>
      </c>
      <c r="B47" s="291"/>
      <c r="C47" s="291"/>
      <c r="D47" s="291"/>
      <c r="E47" s="291"/>
      <c r="F47" s="291"/>
      <c r="G47" s="291"/>
      <c r="H47" s="291"/>
      <c r="I47" s="291"/>
      <c r="J47" s="291"/>
    </row>
    <row r="48" spans="1:10" ht="12.75" customHeight="1">
      <c r="A48" s="291"/>
      <c r="B48" s="291"/>
      <c r="C48" s="291"/>
      <c r="D48" s="291"/>
      <c r="E48" s="291"/>
      <c r="F48" s="291"/>
      <c r="G48" s="291"/>
      <c r="H48" s="291"/>
      <c r="I48" s="291"/>
      <c r="J48" s="291"/>
    </row>
    <row r="49" spans="1:11" ht="12.75" customHeight="1">
      <c r="A49" s="291"/>
      <c r="B49" s="291"/>
      <c r="C49" s="291"/>
      <c r="D49" s="291"/>
      <c r="E49" s="291"/>
      <c r="F49" s="291"/>
      <c r="G49" s="291"/>
      <c r="H49" s="291"/>
      <c r="I49" s="291"/>
      <c r="J49" s="291"/>
    </row>
    <row r="50" spans="1:11" ht="12.75" customHeight="1">
      <c r="A50" s="291"/>
      <c r="B50" s="291"/>
      <c r="C50" s="291"/>
      <c r="D50" s="291"/>
      <c r="E50" s="291"/>
      <c r="F50" s="291"/>
      <c r="G50" s="291"/>
      <c r="H50" s="291"/>
      <c r="I50" s="291"/>
      <c r="J50" s="291"/>
    </row>
    <row r="51" spans="1:11" ht="12.75" customHeight="1">
      <c r="A51" s="291"/>
      <c r="B51" s="291"/>
      <c r="C51" s="291"/>
      <c r="D51" s="291"/>
      <c r="E51" s="291"/>
      <c r="F51" s="291"/>
      <c r="G51" s="291"/>
      <c r="H51" s="291"/>
      <c r="I51" s="291"/>
      <c r="J51" s="291"/>
    </row>
    <row r="52" spans="1:11" ht="12.75" hidden="1" customHeight="1">
      <c r="A52" s="291"/>
      <c r="B52" s="291"/>
      <c r="C52" s="291"/>
      <c r="D52" s="291"/>
      <c r="E52" s="291"/>
      <c r="F52" s="291"/>
      <c r="G52" s="291"/>
      <c r="H52" s="291"/>
      <c r="I52" s="291"/>
      <c r="J52" s="291"/>
    </row>
    <row r="53" spans="1:11" ht="12.75" hidden="1" customHeight="1">
      <c r="A53" s="291"/>
      <c r="B53" s="291"/>
      <c r="C53" s="291"/>
      <c r="D53" s="291"/>
      <c r="E53" s="291"/>
      <c r="F53" s="291"/>
      <c r="G53" s="291"/>
      <c r="H53" s="291"/>
      <c r="I53" s="291"/>
      <c r="J53" s="291"/>
    </row>
    <row r="54" spans="1:11" ht="12.75" hidden="1" customHeight="1">
      <c r="A54" s="291"/>
      <c r="B54" s="291"/>
      <c r="C54" s="291"/>
      <c r="D54" s="291"/>
      <c r="E54" s="291"/>
      <c r="F54" s="291"/>
      <c r="G54" s="291"/>
      <c r="H54" s="291"/>
      <c r="I54" s="291"/>
      <c r="J54" s="291"/>
    </row>
    <row r="55" spans="1:11" ht="12.75" hidden="1" customHeight="1">
      <c r="A55" s="291"/>
      <c r="B55" s="291"/>
      <c r="C55" s="291"/>
      <c r="D55" s="291"/>
      <c r="E55" s="291"/>
      <c r="F55" s="291"/>
      <c r="G55" s="291"/>
      <c r="H55" s="291"/>
      <c r="I55" s="291"/>
      <c r="J55" s="291"/>
    </row>
    <row r="56" spans="1:11" ht="31.5" customHeight="1">
      <c r="A56" s="291"/>
      <c r="B56" s="291"/>
      <c r="C56" s="291"/>
      <c r="D56" s="291"/>
      <c r="E56" s="291"/>
      <c r="F56" s="291"/>
      <c r="G56" s="291"/>
      <c r="H56" s="291"/>
      <c r="I56" s="291"/>
      <c r="J56" s="291"/>
    </row>
    <row r="57" spans="1:11" ht="12.75" customHeight="1">
      <c r="A57" s="292"/>
      <c r="B57" s="291"/>
      <c r="C57" s="291"/>
      <c r="D57" s="291"/>
      <c r="E57" s="291"/>
      <c r="F57" s="291"/>
      <c r="G57" s="291"/>
      <c r="H57" s="291"/>
      <c r="I57" s="291"/>
      <c r="J57" s="291"/>
      <c r="K57" s="291"/>
    </row>
    <row r="58" spans="1:11" ht="12.75" customHeight="1">
      <c r="A58" s="291"/>
      <c r="B58" s="291"/>
      <c r="C58" s="291"/>
      <c r="D58" s="291"/>
      <c r="E58" s="291"/>
      <c r="F58" s="291"/>
      <c r="G58" s="291"/>
      <c r="H58" s="291"/>
      <c r="I58" s="291"/>
      <c r="J58" s="291"/>
      <c r="K58" s="291"/>
    </row>
    <row r="59" spans="1:11" ht="12.75" customHeight="1">
      <c r="A59" s="156"/>
      <c r="B59" s="156"/>
      <c r="C59" s="156"/>
      <c r="D59" s="156"/>
      <c r="E59" s="156"/>
      <c r="F59" s="156"/>
      <c r="G59" s="156"/>
      <c r="H59" s="156"/>
      <c r="I59" s="156"/>
      <c r="J59" s="156"/>
      <c r="K59" s="156"/>
    </row>
    <row r="60" spans="1:11" ht="12.75" customHeight="1">
      <c r="A60" s="156"/>
      <c r="B60" s="156"/>
      <c r="C60" s="156"/>
      <c r="D60" s="156"/>
      <c r="E60" s="156"/>
      <c r="F60" s="156"/>
      <c r="G60" s="156"/>
      <c r="H60" s="156"/>
      <c r="I60" s="156"/>
      <c r="J60" s="156"/>
    </row>
    <row r="61" spans="1:11" ht="12.75" customHeight="1">
      <c r="A61" s="156"/>
      <c r="B61" s="156"/>
      <c r="C61" s="156"/>
      <c r="D61" s="156"/>
      <c r="E61" s="156"/>
      <c r="F61" s="156"/>
      <c r="G61" s="156"/>
      <c r="H61" s="156"/>
      <c r="I61" s="156"/>
      <c r="J61" s="156"/>
    </row>
    <row r="62" spans="1:11" ht="12.75" customHeight="1">
      <c r="A62" s="156"/>
      <c r="B62" s="156"/>
      <c r="C62" s="156"/>
      <c r="D62" s="156"/>
      <c r="E62" s="156"/>
      <c r="F62" s="156"/>
      <c r="G62" s="156"/>
      <c r="H62" s="156"/>
      <c r="I62" s="156"/>
      <c r="J62" s="156"/>
    </row>
    <row r="63" spans="1:11" ht="12.75" customHeight="1">
      <c r="A63" s="156"/>
      <c r="B63" s="156"/>
      <c r="C63" s="156"/>
      <c r="D63" s="156"/>
      <c r="E63" s="156"/>
      <c r="F63" s="156"/>
      <c r="G63" s="156"/>
      <c r="H63" s="156"/>
      <c r="I63" s="156"/>
      <c r="J63" s="156"/>
    </row>
    <row r="64" spans="1:11" ht="12.75" customHeight="1">
      <c r="I64" s="304"/>
      <c r="J64" s="291"/>
    </row>
    <row r="65" spans="1:10" ht="15.75" customHeight="1">
      <c r="A65" s="286" t="s">
        <v>69</v>
      </c>
      <c r="B65" s="287"/>
      <c r="C65" s="287"/>
      <c r="D65" s="287"/>
      <c r="E65" s="287"/>
      <c r="F65" s="287"/>
      <c r="G65" s="287"/>
      <c r="H65" s="288" t="str">
        <f>'[1]CONTACT INFORMATION'!$A$24</f>
        <v>San Francisco</v>
      </c>
      <c r="I65" s="287"/>
      <c r="J65" s="289"/>
    </row>
    <row r="66" spans="1:10" ht="12" customHeight="1">
      <c r="A66" s="167"/>
      <c r="B66" s="167"/>
      <c r="C66" s="167"/>
      <c r="D66" s="167"/>
      <c r="E66" s="167"/>
      <c r="F66" s="167"/>
      <c r="G66" s="167"/>
      <c r="H66" s="167"/>
      <c r="I66" s="167"/>
      <c r="J66" s="167"/>
    </row>
    <row r="67" spans="1:10" ht="12.75" customHeight="1">
      <c r="B67" s="307" t="s">
        <v>945</v>
      </c>
      <c r="C67" s="291"/>
      <c r="D67" s="291"/>
      <c r="E67" s="291"/>
      <c r="F67" s="291"/>
      <c r="G67" s="291"/>
      <c r="H67" s="291"/>
      <c r="I67" s="291"/>
      <c r="J67" s="169"/>
    </row>
    <row r="68" spans="1:10" ht="12.75" customHeight="1">
      <c r="A68" s="169"/>
      <c r="B68" s="291"/>
      <c r="C68" s="291"/>
      <c r="D68" s="291"/>
      <c r="E68" s="291"/>
      <c r="F68" s="291"/>
      <c r="G68" s="291"/>
      <c r="H68" s="291"/>
      <c r="I68" s="291"/>
      <c r="J68" s="169"/>
    </row>
    <row r="69" spans="1:10" ht="12.75" customHeight="1">
      <c r="A69" s="169"/>
      <c r="B69" s="291"/>
      <c r="C69" s="291"/>
      <c r="D69" s="291"/>
      <c r="E69" s="291"/>
      <c r="F69" s="291"/>
      <c r="G69" s="291"/>
      <c r="H69" s="291"/>
      <c r="I69" s="291"/>
      <c r="J69" s="169"/>
    </row>
    <row r="70" spans="1:10" ht="12.75" customHeight="1">
      <c r="A70" s="169"/>
      <c r="B70" s="168"/>
      <c r="C70" s="168"/>
      <c r="D70" s="168"/>
      <c r="E70" s="168"/>
      <c r="F70" s="168"/>
      <c r="G70" s="168"/>
      <c r="H70" s="168"/>
      <c r="I70" s="168"/>
      <c r="J70" s="168"/>
    </row>
    <row r="71" spans="1:10" ht="12.75" customHeight="1">
      <c r="A71" s="169"/>
      <c r="B71" s="307" t="s">
        <v>944</v>
      </c>
      <c r="C71" s="291"/>
      <c r="D71" s="291"/>
      <c r="E71" s="291"/>
      <c r="F71" s="291"/>
      <c r="G71" s="291"/>
      <c r="H71" s="291"/>
      <c r="I71" s="291"/>
      <c r="J71" s="169"/>
    </row>
    <row r="72" spans="1:10" ht="12.75" customHeight="1">
      <c r="A72" s="169"/>
      <c r="B72" s="291"/>
      <c r="C72" s="291"/>
      <c r="D72" s="291"/>
      <c r="E72" s="291"/>
      <c r="F72" s="291"/>
      <c r="G72" s="291"/>
      <c r="H72" s="291"/>
      <c r="I72" s="291"/>
      <c r="J72" s="169"/>
    </row>
    <row r="73" spans="1:10" ht="12.75" customHeight="1">
      <c r="A73" s="169"/>
      <c r="B73" s="291"/>
      <c r="C73" s="291"/>
      <c r="D73" s="291"/>
      <c r="E73" s="291"/>
      <c r="F73" s="291"/>
      <c r="G73" s="291"/>
      <c r="H73" s="291"/>
      <c r="I73" s="291"/>
      <c r="J73" s="169"/>
    </row>
    <row r="74" spans="1:10" ht="12.75" customHeight="1">
      <c r="A74" s="169"/>
      <c r="B74" s="291"/>
      <c r="C74" s="291"/>
      <c r="D74" s="291"/>
      <c r="E74" s="291"/>
      <c r="F74" s="291"/>
      <c r="G74" s="291"/>
      <c r="H74" s="291"/>
      <c r="I74" s="291"/>
      <c r="J74" s="169"/>
    </row>
    <row r="75" spans="1:10" ht="12.75" customHeight="1">
      <c r="A75" s="169"/>
      <c r="B75" s="291"/>
      <c r="C75" s="291"/>
      <c r="D75" s="291"/>
      <c r="E75" s="291"/>
      <c r="F75" s="291"/>
      <c r="G75" s="291"/>
      <c r="H75" s="291"/>
      <c r="I75" s="291"/>
      <c r="J75" s="168"/>
    </row>
    <row r="76" spans="1:10" ht="12.75" customHeight="1">
      <c r="A76" s="169"/>
      <c r="B76" s="168"/>
      <c r="C76" s="168"/>
      <c r="D76" s="168"/>
      <c r="E76" s="168"/>
      <c r="F76" s="168"/>
      <c r="G76" s="168"/>
      <c r="H76" s="168"/>
      <c r="I76" s="168"/>
      <c r="J76" s="168"/>
    </row>
    <row r="77" spans="1:10" ht="12.75" customHeight="1">
      <c r="B77" s="307" t="s">
        <v>943</v>
      </c>
      <c r="C77" s="291"/>
      <c r="D77" s="291"/>
      <c r="E77" s="291"/>
      <c r="F77" s="291"/>
      <c r="G77" s="291"/>
      <c r="H77" s="291"/>
      <c r="I77" s="291"/>
      <c r="J77" s="169"/>
    </row>
    <row r="78" spans="1:10" ht="12.75" customHeight="1">
      <c r="B78" s="291"/>
      <c r="C78" s="291"/>
      <c r="D78" s="291"/>
      <c r="E78" s="291"/>
      <c r="F78" s="291"/>
      <c r="G78" s="291"/>
      <c r="H78" s="291"/>
      <c r="I78" s="291"/>
      <c r="J78" s="169"/>
    </row>
    <row r="79" spans="1:10" ht="12.75" customHeight="1">
      <c r="B79" s="291"/>
      <c r="C79" s="291"/>
      <c r="D79" s="291"/>
      <c r="E79" s="291"/>
      <c r="F79" s="291"/>
      <c r="G79" s="291"/>
      <c r="H79" s="291"/>
      <c r="I79" s="291"/>
      <c r="J79" s="168"/>
    </row>
    <row r="80" spans="1:10" ht="12.75" customHeight="1">
      <c r="B80" s="168"/>
      <c r="C80" s="168"/>
      <c r="D80" s="168"/>
      <c r="E80" s="168"/>
      <c r="F80" s="168"/>
      <c r="G80" s="168"/>
      <c r="H80" s="168"/>
      <c r="I80" s="168"/>
      <c r="J80" s="168"/>
    </row>
    <row r="81" spans="1:10" ht="12.75" customHeight="1">
      <c r="B81" s="308" t="s">
        <v>942</v>
      </c>
      <c r="C81" s="291"/>
      <c r="D81" s="291"/>
      <c r="E81" s="291"/>
      <c r="F81" s="291"/>
      <c r="G81" s="291"/>
      <c r="H81" s="291"/>
      <c r="I81" s="291"/>
      <c r="J81" s="169"/>
    </row>
    <row r="82" spans="1:10" ht="12.75" customHeight="1">
      <c r="B82" s="291"/>
      <c r="C82" s="291"/>
      <c r="D82" s="291"/>
      <c r="E82" s="291"/>
      <c r="F82" s="291"/>
      <c r="G82" s="291"/>
      <c r="H82" s="291"/>
      <c r="I82" s="291"/>
      <c r="J82" s="169"/>
    </row>
    <row r="83" spans="1:10" ht="12.75" customHeight="1">
      <c r="B83" s="291"/>
      <c r="C83" s="291"/>
      <c r="D83" s="291"/>
      <c r="E83" s="291"/>
      <c r="F83" s="291"/>
      <c r="G83" s="291"/>
      <c r="H83" s="291"/>
      <c r="I83" s="291"/>
      <c r="J83" s="169"/>
    </row>
    <row r="84" spans="1:10" ht="12.75" customHeight="1">
      <c r="B84" s="291"/>
      <c r="C84" s="291"/>
      <c r="D84" s="291"/>
      <c r="E84" s="291"/>
      <c r="F84" s="291"/>
      <c r="G84" s="291"/>
      <c r="H84" s="291"/>
      <c r="I84" s="291"/>
      <c r="J84" s="168"/>
    </row>
    <row r="85" spans="1:10" ht="12.75" customHeight="1">
      <c r="B85" s="168"/>
      <c r="C85" s="168"/>
      <c r="D85" s="168"/>
      <c r="E85" s="168"/>
      <c r="F85" s="168"/>
      <c r="G85" s="168"/>
      <c r="H85" s="168"/>
      <c r="I85" s="168"/>
      <c r="J85" s="168"/>
    </row>
    <row r="86" spans="1:10" ht="12.75" customHeight="1">
      <c r="B86" s="307" t="s">
        <v>941</v>
      </c>
      <c r="C86" s="291"/>
      <c r="D86" s="291"/>
      <c r="E86" s="291"/>
      <c r="F86" s="291"/>
      <c r="G86" s="291"/>
      <c r="H86" s="291"/>
      <c r="I86" s="291"/>
      <c r="J86" s="167"/>
    </row>
    <row r="87" spans="1:10" ht="12.75" customHeight="1">
      <c r="B87" s="291"/>
      <c r="C87" s="291"/>
      <c r="D87" s="291"/>
      <c r="E87" s="291"/>
      <c r="F87" s="291"/>
      <c r="G87" s="291"/>
      <c r="H87" s="291"/>
      <c r="I87" s="291"/>
      <c r="J87" s="167"/>
    </row>
    <row r="88" spans="1:10" ht="12.75" customHeight="1">
      <c r="B88" s="291"/>
      <c r="C88" s="291"/>
      <c r="D88" s="291"/>
      <c r="E88" s="291"/>
      <c r="F88" s="291"/>
      <c r="G88" s="291"/>
      <c r="H88" s="291"/>
      <c r="I88" s="291"/>
      <c r="J88" s="167"/>
    </row>
    <row r="89" spans="1:10" ht="12.75" customHeight="1">
      <c r="B89" s="156"/>
      <c r="C89" s="156"/>
      <c r="D89" s="156"/>
      <c r="E89" s="156"/>
      <c r="F89" s="156"/>
      <c r="G89" s="156"/>
      <c r="H89" s="156"/>
      <c r="I89" s="156"/>
      <c r="J89" s="156"/>
    </row>
    <row r="90" spans="1:10" ht="12.75" customHeight="1">
      <c r="B90" s="307" t="s">
        <v>940</v>
      </c>
      <c r="C90" s="291"/>
      <c r="D90" s="291"/>
      <c r="E90" s="291"/>
      <c r="F90" s="291"/>
      <c r="G90" s="291"/>
      <c r="H90" s="291"/>
      <c r="I90" s="291"/>
      <c r="J90" s="167"/>
    </row>
    <row r="91" spans="1:10" ht="24.75" customHeight="1">
      <c r="B91" s="291"/>
      <c r="C91" s="291"/>
      <c r="D91" s="291"/>
      <c r="E91" s="291"/>
      <c r="F91" s="291"/>
      <c r="G91" s="291"/>
      <c r="H91" s="291"/>
      <c r="I91" s="291"/>
      <c r="J91" s="167"/>
    </row>
    <row r="92" spans="1:10" ht="9" customHeight="1"/>
    <row r="93" spans="1:10" ht="4.5" customHeight="1"/>
    <row r="94" spans="1:10" ht="12.75" customHeight="1">
      <c r="A94" s="309" t="s">
        <v>939</v>
      </c>
      <c r="B94" s="291"/>
      <c r="C94" s="291"/>
      <c r="D94" s="291"/>
      <c r="E94" s="291"/>
      <c r="F94" s="291"/>
      <c r="G94" s="291"/>
      <c r="H94" s="291"/>
      <c r="I94" s="291"/>
      <c r="J94" s="291"/>
    </row>
    <row r="95" spans="1:10" ht="12.75" customHeight="1">
      <c r="A95" s="291"/>
      <c r="B95" s="291"/>
      <c r="C95" s="291"/>
      <c r="D95" s="291"/>
      <c r="E95" s="291"/>
      <c r="F95" s="291"/>
      <c r="G95" s="291"/>
      <c r="H95" s="291"/>
      <c r="I95" s="291"/>
      <c r="J95" s="291"/>
    </row>
    <row r="96" spans="1:10" ht="12.75" customHeight="1">
      <c r="A96" s="291"/>
      <c r="B96" s="291"/>
      <c r="C96" s="291"/>
      <c r="D96" s="291"/>
      <c r="E96" s="291"/>
      <c r="F96" s="291"/>
      <c r="G96" s="291"/>
      <c r="H96" s="291"/>
      <c r="I96" s="291"/>
      <c r="J96" s="291"/>
    </row>
    <row r="97" spans="1:11" ht="12.75" hidden="1" customHeight="1">
      <c r="A97" s="291"/>
      <c r="B97" s="291"/>
      <c r="C97" s="291"/>
      <c r="D97" s="291"/>
      <c r="E97" s="291"/>
      <c r="F97" s="291"/>
      <c r="G97" s="291"/>
      <c r="H97" s="291"/>
      <c r="I97" s="291"/>
      <c r="J97" s="291"/>
    </row>
    <row r="98" spans="1:11" ht="12.75" hidden="1" customHeight="1">
      <c r="A98" s="291"/>
      <c r="B98" s="291"/>
      <c r="C98" s="291"/>
      <c r="D98" s="291"/>
      <c r="E98" s="291"/>
      <c r="F98" s="291"/>
      <c r="G98" s="291"/>
      <c r="H98" s="291"/>
      <c r="I98" s="291"/>
      <c r="J98" s="291"/>
    </row>
    <row r="99" spans="1:11" ht="12.75" hidden="1" customHeight="1">
      <c r="A99" s="291"/>
      <c r="B99" s="291"/>
      <c r="C99" s="291"/>
      <c r="D99" s="291"/>
      <c r="E99" s="291"/>
      <c r="F99" s="291"/>
      <c r="G99" s="291"/>
      <c r="H99" s="291"/>
      <c r="I99" s="291"/>
      <c r="J99" s="291"/>
    </row>
    <row r="100" spans="1:11" ht="12.75" hidden="1" customHeight="1">
      <c r="A100" s="291"/>
      <c r="B100" s="291"/>
      <c r="C100" s="291"/>
      <c r="D100" s="291"/>
      <c r="E100" s="291"/>
      <c r="F100" s="291"/>
      <c r="G100" s="291"/>
      <c r="H100" s="291"/>
      <c r="I100" s="291"/>
      <c r="J100" s="291"/>
    </row>
    <row r="101" spans="1:11" ht="4.5" customHeight="1">
      <c r="A101" s="291"/>
      <c r="B101" s="291"/>
      <c r="C101" s="291"/>
      <c r="D101" s="291"/>
      <c r="E101" s="291"/>
      <c r="F101" s="291"/>
      <c r="G101" s="291"/>
      <c r="H101" s="291"/>
      <c r="I101" s="291"/>
      <c r="J101" s="291"/>
    </row>
    <row r="102" spans="1:11" ht="7.5" customHeight="1">
      <c r="A102" s="167"/>
      <c r="B102" s="167"/>
      <c r="C102" s="167"/>
      <c r="D102" s="167"/>
      <c r="E102" s="167"/>
      <c r="F102" s="167"/>
      <c r="G102" s="167"/>
      <c r="H102" s="167"/>
      <c r="I102" s="167"/>
      <c r="J102" s="167"/>
    </row>
    <row r="103" spans="1:11" ht="12.75" customHeight="1">
      <c r="A103" s="309" t="s">
        <v>141</v>
      </c>
      <c r="B103" s="291"/>
      <c r="C103" s="291"/>
      <c r="D103" s="291"/>
      <c r="E103" s="291"/>
      <c r="F103" s="291"/>
      <c r="G103" s="291"/>
      <c r="H103" s="291"/>
      <c r="I103" s="291"/>
      <c r="J103" s="291"/>
    </row>
    <row r="104" spans="1:11" ht="12.75" customHeight="1">
      <c r="A104" s="291"/>
      <c r="B104" s="291"/>
      <c r="C104" s="291"/>
      <c r="D104" s="291"/>
      <c r="E104" s="291"/>
      <c r="F104" s="291"/>
      <c r="G104" s="291"/>
      <c r="H104" s="291"/>
      <c r="I104" s="291"/>
      <c r="J104" s="291"/>
    </row>
    <row r="105" spans="1:11" ht="12.75" customHeight="1">
      <c r="A105" s="291"/>
      <c r="B105" s="291"/>
      <c r="C105" s="291"/>
      <c r="D105" s="291"/>
      <c r="E105" s="291"/>
      <c r="F105" s="291"/>
      <c r="G105" s="291"/>
      <c r="H105" s="291"/>
      <c r="I105" s="291"/>
      <c r="J105" s="291"/>
    </row>
    <row r="106" spans="1:11" ht="12.75" customHeight="1">
      <c r="A106" s="167"/>
      <c r="B106" s="167"/>
      <c r="C106" s="167"/>
      <c r="D106" s="167"/>
      <c r="E106" s="167"/>
      <c r="F106" s="167"/>
      <c r="G106" s="167"/>
      <c r="H106" s="167"/>
      <c r="I106" s="167"/>
      <c r="J106" s="167"/>
    </row>
    <row r="107" spans="1:11" ht="20.25" customHeight="1">
      <c r="A107" s="292" t="s">
        <v>938</v>
      </c>
      <c r="B107" s="291"/>
      <c r="C107" s="291"/>
      <c r="D107" s="291"/>
      <c r="E107" s="291"/>
      <c r="F107" s="291"/>
      <c r="G107" s="291"/>
      <c r="H107" s="291"/>
      <c r="I107" s="291"/>
      <c r="J107" s="291"/>
      <c r="K107" s="291"/>
    </row>
    <row r="108" spans="1:11" ht="12.75" customHeight="1">
      <c r="A108" s="167"/>
      <c r="B108" s="167"/>
      <c r="C108" s="167"/>
      <c r="D108" s="167"/>
      <c r="E108" s="167"/>
      <c r="F108" s="167"/>
      <c r="G108" s="167"/>
      <c r="H108" s="167"/>
      <c r="I108" s="167"/>
      <c r="J108" s="167"/>
    </row>
    <row r="109" spans="1:11" ht="12.75" customHeight="1">
      <c r="A109" s="167"/>
      <c r="B109" s="167"/>
      <c r="C109" s="167"/>
      <c r="D109" s="167"/>
      <c r="E109" s="167"/>
      <c r="F109" s="167"/>
      <c r="G109" s="167"/>
      <c r="H109" s="167"/>
      <c r="I109" s="167"/>
      <c r="J109" s="167"/>
    </row>
    <row r="110" spans="1:11" ht="12.75" customHeight="1">
      <c r="A110" s="167"/>
      <c r="B110" s="167"/>
      <c r="C110" s="167"/>
      <c r="D110" s="167"/>
      <c r="E110" s="167"/>
      <c r="F110" s="167"/>
      <c r="G110" s="167"/>
      <c r="H110" s="167"/>
      <c r="I110" s="167"/>
      <c r="J110" s="167"/>
    </row>
    <row r="111" spans="1:11" ht="12.75" customHeight="1">
      <c r="A111" s="167"/>
      <c r="B111" s="167"/>
      <c r="C111" s="167"/>
      <c r="D111" s="167"/>
      <c r="E111" s="167"/>
      <c r="F111" s="167"/>
      <c r="G111" s="167"/>
      <c r="H111" s="167"/>
      <c r="I111" s="167"/>
      <c r="J111" s="167"/>
    </row>
    <row r="112" spans="1:11" ht="12.75" customHeight="1">
      <c r="A112" s="167"/>
      <c r="B112" s="167"/>
      <c r="C112" s="167"/>
      <c r="D112" s="167"/>
      <c r="E112" s="167"/>
      <c r="F112" s="167"/>
      <c r="G112" s="167"/>
      <c r="H112" s="167"/>
      <c r="I112" s="167"/>
      <c r="J112" s="167"/>
    </row>
    <row r="113" spans="1:12" ht="12.75" customHeight="1">
      <c r="A113" s="167"/>
      <c r="B113" s="167"/>
      <c r="C113" s="167"/>
      <c r="D113" s="167"/>
      <c r="E113" s="167"/>
      <c r="F113" s="167"/>
      <c r="G113" s="167"/>
      <c r="H113" s="167"/>
      <c r="I113" s="167"/>
      <c r="J113" s="167"/>
    </row>
    <row r="114" spans="1:12" ht="12.75" customHeight="1">
      <c r="A114" s="167"/>
      <c r="B114" s="167"/>
      <c r="C114" s="167"/>
      <c r="D114" s="167"/>
      <c r="E114" s="167"/>
      <c r="F114" s="167"/>
      <c r="G114" s="167"/>
      <c r="H114" s="167"/>
      <c r="I114" s="167"/>
      <c r="J114" s="167"/>
    </row>
    <row r="115" spans="1:12" ht="12.75" customHeight="1">
      <c r="A115" s="167"/>
      <c r="B115" s="167"/>
      <c r="C115" s="167"/>
      <c r="D115" s="167"/>
      <c r="E115" s="167"/>
      <c r="F115" s="167"/>
      <c r="G115" s="167"/>
      <c r="H115" s="167"/>
      <c r="I115" s="167"/>
      <c r="J115" s="167"/>
    </row>
    <row r="116" spans="1:12" ht="12.75" customHeight="1">
      <c r="A116" s="167"/>
      <c r="B116" s="167"/>
      <c r="C116" s="167"/>
      <c r="D116" s="167"/>
      <c r="E116" s="167"/>
      <c r="F116" s="167"/>
      <c r="G116" s="167"/>
      <c r="H116" s="167"/>
      <c r="I116" s="167"/>
      <c r="J116" s="167"/>
    </row>
    <row r="117" spans="1:12" ht="12.75" customHeight="1">
      <c r="A117" s="167"/>
      <c r="B117" s="167"/>
      <c r="C117" s="167"/>
      <c r="D117" s="167"/>
      <c r="E117" s="167"/>
      <c r="F117" s="167"/>
      <c r="G117" s="167"/>
      <c r="H117" s="167"/>
      <c r="I117" s="167"/>
      <c r="J117" s="167"/>
    </row>
    <row r="118" spans="1:12" ht="12.75" customHeight="1">
      <c r="A118" s="167"/>
      <c r="B118" s="167"/>
      <c r="C118" s="167"/>
      <c r="D118" s="167"/>
      <c r="E118" s="167"/>
      <c r="F118" s="167"/>
      <c r="G118" s="167"/>
      <c r="H118" s="167"/>
      <c r="I118" s="167"/>
      <c r="J118" s="167"/>
    </row>
    <row r="119" spans="1:12" ht="12.75" customHeight="1">
      <c r="A119" s="167"/>
      <c r="B119" s="167"/>
      <c r="C119" s="167"/>
      <c r="D119" s="167"/>
      <c r="E119" s="167"/>
      <c r="F119" s="167"/>
      <c r="G119" s="167"/>
      <c r="H119" s="167"/>
      <c r="I119" s="167"/>
      <c r="J119" s="167"/>
    </row>
    <row r="120" spans="1:12" ht="12.75" customHeight="1">
      <c r="A120" s="167"/>
      <c r="B120" s="167"/>
      <c r="C120" s="167"/>
      <c r="D120" s="167"/>
      <c r="E120" s="167"/>
      <c r="F120" s="167"/>
      <c r="G120" s="167"/>
      <c r="H120" s="167"/>
      <c r="I120" s="167"/>
      <c r="J120" s="167"/>
    </row>
    <row r="121" spans="1:12" ht="12.75" customHeight="1">
      <c r="A121" s="167"/>
      <c r="B121" s="167"/>
      <c r="C121" s="167"/>
      <c r="D121" s="167"/>
      <c r="E121" s="167"/>
      <c r="F121" s="167"/>
      <c r="G121" s="167"/>
      <c r="H121" s="167"/>
      <c r="I121" s="167"/>
      <c r="J121" s="167"/>
    </row>
    <row r="122" spans="1:12" ht="12.75" customHeight="1">
      <c r="A122" s="167"/>
      <c r="B122" s="167"/>
      <c r="C122" s="167"/>
      <c r="D122" s="167"/>
      <c r="E122" s="167"/>
      <c r="F122" s="167"/>
      <c r="G122" s="167"/>
      <c r="H122" s="167"/>
      <c r="I122" s="167"/>
      <c r="J122" s="167"/>
    </row>
    <row r="123" spans="1:12" ht="12.75" customHeight="1">
      <c r="A123" s="167"/>
      <c r="B123" s="167"/>
      <c r="C123" s="167"/>
      <c r="D123" s="167"/>
      <c r="E123" s="167"/>
      <c r="F123" s="167"/>
      <c r="G123" s="167"/>
      <c r="H123" s="167"/>
      <c r="I123" s="167"/>
      <c r="J123" s="167"/>
    </row>
    <row r="124" spans="1:12" ht="12.75" customHeight="1">
      <c r="A124" s="167"/>
      <c r="B124" s="167"/>
      <c r="C124" s="167"/>
      <c r="D124" s="167"/>
      <c r="E124" s="167"/>
      <c r="F124" s="167"/>
      <c r="G124" s="167"/>
      <c r="H124" s="167"/>
      <c r="I124" s="167"/>
      <c r="J124" s="167"/>
    </row>
    <row r="125" spans="1:12" ht="12.75" customHeight="1">
      <c r="A125" s="286" t="s">
        <v>69</v>
      </c>
      <c r="B125" s="287"/>
      <c r="C125" s="287"/>
      <c r="D125" s="287"/>
      <c r="E125" s="287"/>
      <c r="F125" s="287"/>
      <c r="G125" s="287"/>
      <c r="H125" s="288" t="str">
        <f>'[1]CONTACT INFORMATION'!$A$24</f>
        <v>San Francisco</v>
      </c>
      <c r="I125" s="287"/>
      <c r="J125" s="289"/>
      <c r="K125" s="159"/>
      <c r="L125" s="159"/>
    </row>
    <row r="126" spans="1:12" ht="8.25" customHeight="1">
      <c r="A126" s="166"/>
      <c r="B126" s="166"/>
      <c r="C126" s="166"/>
      <c r="D126" s="166"/>
      <c r="E126" s="166"/>
      <c r="F126" s="166"/>
      <c r="G126" s="166"/>
      <c r="H126" s="166"/>
      <c r="I126" s="166"/>
      <c r="J126" s="166"/>
      <c r="K126" s="159"/>
      <c r="L126" s="159"/>
    </row>
    <row r="127" spans="1:12" ht="12.75" customHeight="1">
      <c r="A127" s="310" t="s">
        <v>143</v>
      </c>
      <c r="B127" s="287"/>
      <c r="C127" s="287"/>
      <c r="D127" s="287"/>
      <c r="E127" s="287"/>
      <c r="F127" s="287"/>
      <c r="G127" s="287"/>
      <c r="H127" s="287"/>
      <c r="I127" s="287"/>
      <c r="J127" s="289"/>
    </row>
    <row r="128" spans="1:12" ht="12.75" customHeight="1">
      <c r="A128" s="311" t="s">
        <v>144</v>
      </c>
      <c r="B128" s="312"/>
      <c r="C128" s="312"/>
      <c r="D128" s="313"/>
      <c r="E128" s="314" t="s">
        <v>937</v>
      </c>
      <c r="F128" s="315"/>
      <c r="G128" s="315"/>
      <c r="H128" s="315"/>
      <c r="I128" s="315"/>
      <c r="J128" s="316"/>
    </row>
    <row r="129" spans="1:16" ht="12.75" customHeight="1">
      <c r="A129" s="320" t="s">
        <v>145</v>
      </c>
      <c r="B129" s="301"/>
      <c r="C129" s="301"/>
      <c r="D129" s="303"/>
      <c r="E129" s="317"/>
      <c r="F129" s="318"/>
      <c r="G129" s="318"/>
      <c r="H129" s="318"/>
      <c r="I129" s="318"/>
      <c r="J129" s="319"/>
    </row>
    <row r="130" spans="1:16" ht="12.75" customHeight="1">
      <c r="A130" s="296" t="s">
        <v>934</v>
      </c>
      <c r="B130" s="287"/>
      <c r="C130" s="287"/>
      <c r="D130" s="289"/>
      <c r="E130" s="321" t="s">
        <v>121</v>
      </c>
      <c r="F130" s="287"/>
      <c r="G130" s="287"/>
      <c r="H130" s="287"/>
      <c r="I130" s="287"/>
      <c r="J130" s="289"/>
    </row>
    <row r="131" spans="1:16" ht="27" customHeight="1">
      <c r="A131" s="165"/>
      <c r="B131" s="164"/>
      <c r="C131" s="164"/>
      <c r="D131" s="164"/>
      <c r="E131" s="300" t="s">
        <v>147</v>
      </c>
      <c r="F131" s="301"/>
      <c r="G131" s="300" t="s">
        <v>148</v>
      </c>
      <c r="H131" s="301"/>
      <c r="I131" s="302" t="s">
        <v>149</v>
      </c>
      <c r="J131" s="303"/>
    </row>
    <row r="132" spans="1:16" ht="12.75" customHeight="1">
      <c r="A132" s="297" t="s">
        <v>150</v>
      </c>
      <c r="B132" s="287"/>
      <c r="C132" s="287"/>
      <c r="D132" s="289"/>
      <c r="E132" s="298">
        <v>62764</v>
      </c>
      <c r="F132" s="289"/>
      <c r="G132" s="298"/>
      <c r="H132" s="289"/>
      <c r="I132" s="299"/>
      <c r="J132" s="289"/>
    </row>
    <row r="133" spans="1:16" ht="12.75" customHeight="1">
      <c r="A133" s="305" t="s">
        <v>151</v>
      </c>
      <c r="B133" s="287"/>
      <c r="C133" s="287"/>
      <c r="D133" s="289"/>
      <c r="E133" s="306"/>
      <c r="F133" s="289"/>
      <c r="G133" s="322"/>
      <c r="H133" s="289"/>
      <c r="I133" s="323"/>
      <c r="J133" s="289"/>
    </row>
    <row r="134" spans="1:16" ht="12.75" customHeight="1">
      <c r="A134" s="297" t="s">
        <v>152</v>
      </c>
      <c r="B134" s="287"/>
      <c r="C134" s="287"/>
      <c r="D134" s="289"/>
      <c r="E134" s="298"/>
      <c r="F134" s="289"/>
      <c r="G134" s="298"/>
      <c r="H134" s="289"/>
      <c r="I134" s="299"/>
      <c r="J134" s="289"/>
    </row>
    <row r="135" spans="1:16" ht="12.75" customHeight="1">
      <c r="A135" s="305" t="s">
        <v>153</v>
      </c>
      <c r="B135" s="287"/>
      <c r="C135" s="287"/>
      <c r="D135" s="289"/>
      <c r="E135" s="306">
        <v>642425</v>
      </c>
      <c r="F135" s="289"/>
      <c r="G135" s="322"/>
      <c r="H135" s="289"/>
      <c r="I135" s="323"/>
      <c r="J135" s="289"/>
    </row>
    <row r="136" spans="1:16" ht="12.75" customHeight="1">
      <c r="A136" s="297" t="s">
        <v>154</v>
      </c>
      <c r="B136" s="287"/>
      <c r="C136" s="287"/>
      <c r="D136" s="289"/>
      <c r="E136" s="298"/>
      <c r="F136" s="289"/>
      <c r="G136" s="298"/>
      <c r="H136" s="289"/>
      <c r="I136" s="299"/>
      <c r="J136" s="289"/>
    </row>
    <row r="137" spans="1:16" ht="12.75" customHeight="1">
      <c r="A137" s="305" t="s">
        <v>155</v>
      </c>
      <c r="B137" s="287"/>
      <c r="C137" s="287"/>
      <c r="D137" s="289"/>
      <c r="E137" s="306"/>
      <c r="F137" s="289"/>
      <c r="G137" s="322"/>
      <c r="H137" s="289"/>
      <c r="I137" s="323"/>
      <c r="J137" s="289"/>
    </row>
    <row r="138" spans="1:16" ht="12.75" customHeight="1">
      <c r="A138" s="297" t="s">
        <v>156</v>
      </c>
      <c r="B138" s="287"/>
      <c r="C138" s="287"/>
      <c r="D138" s="289"/>
      <c r="E138" s="325"/>
      <c r="F138" s="289"/>
      <c r="G138" s="325"/>
      <c r="H138" s="289"/>
      <c r="I138" s="326"/>
      <c r="J138" s="289"/>
    </row>
    <row r="139" spans="1:16" ht="12.75" customHeight="1">
      <c r="A139" s="324"/>
      <c r="B139" s="287"/>
      <c r="C139" s="287"/>
      <c r="D139" s="289"/>
      <c r="E139" s="306"/>
      <c r="F139" s="289"/>
      <c r="G139" s="322"/>
      <c r="H139" s="289"/>
      <c r="I139" s="322"/>
      <c r="J139" s="289"/>
    </row>
    <row r="140" spans="1:16" ht="12.75" customHeight="1">
      <c r="A140" s="324"/>
      <c r="B140" s="287"/>
      <c r="C140" s="287"/>
      <c r="D140" s="289"/>
      <c r="E140" s="306"/>
      <c r="F140" s="289"/>
      <c r="G140" s="322"/>
      <c r="H140" s="289"/>
      <c r="I140" s="322"/>
      <c r="J140" s="289"/>
    </row>
    <row r="141" spans="1:16" ht="12.75" customHeight="1">
      <c r="A141" s="324"/>
      <c r="B141" s="287"/>
      <c r="C141" s="287"/>
      <c r="D141" s="289"/>
      <c r="E141" s="306"/>
      <c r="F141" s="289"/>
      <c r="G141" s="322"/>
      <c r="H141" s="289"/>
      <c r="I141" s="322"/>
      <c r="J141" s="289"/>
      <c r="P141" s="163"/>
    </row>
    <row r="142" spans="1:16" ht="12.75" customHeight="1">
      <c r="A142" s="337" t="s">
        <v>157</v>
      </c>
      <c r="B142" s="287"/>
      <c r="C142" s="287"/>
      <c r="D142" s="289"/>
      <c r="E142" s="338">
        <f>SUM(E132:E141)</f>
        <v>705189</v>
      </c>
      <c r="F142" s="289"/>
      <c r="G142" s="338">
        <f>SUM(G132:G141)</f>
        <v>0</v>
      </c>
      <c r="H142" s="289"/>
      <c r="I142" s="338">
        <f>SUM(I132:I141)</f>
        <v>0</v>
      </c>
      <c r="J142" s="289"/>
      <c r="L142" s="162"/>
    </row>
    <row r="143" spans="1:16" ht="14.25" customHeight="1">
      <c r="A143" s="339" t="s">
        <v>158</v>
      </c>
      <c r="B143" s="312"/>
      <c r="C143" s="312"/>
      <c r="D143" s="312"/>
      <c r="E143" s="312"/>
      <c r="F143" s="312"/>
      <c r="G143" s="312"/>
      <c r="H143" s="312"/>
      <c r="I143" s="312"/>
      <c r="J143" s="313"/>
      <c r="L143" s="162"/>
    </row>
    <row r="144" spans="1:16" ht="14.25" customHeight="1">
      <c r="A144" s="340" t="s">
        <v>159</v>
      </c>
      <c r="B144" s="341"/>
      <c r="C144" s="341"/>
      <c r="D144" s="341"/>
      <c r="E144" s="341"/>
      <c r="F144" s="341"/>
      <c r="G144" s="341"/>
      <c r="H144" s="341"/>
      <c r="I144" s="341"/>
      <c r="J144" s="342"/>
      <c r="L144" s="162"/>
    </row>
    <row r="145" spans="1:12" ht="14.25" customHeight="1">
      <c r="A145" s="340" t="s">
        <v>160</v>
      </c>
      <c r="B145" s="341"/>
      <c r="C145" s="341"/>
      <c r="D145" s="341"/>
      <c r="E145" s="341"/>
      <c r="F145" s="341"/>
      <c r="G145" s="341"/>
      <c r="H145" s="341"/>
      <c r="I145" s="341"/>
      <c r="J145" s="342"/>
      <c r="L145" s="162"/>
    </row>
    <row r="146" spans="1:12" ht="14.25" customHeight="1">
      <c r="A146" s="336" t="s">
        <v>161</v>
      </c>
      <c r="B146" s="301"/>
      <c r="C146" s="301"/>
      <c r="D146" s="301"/>
      <c r="E146" s="301"/>
      <c r="F146" s="301"/>
      <c r="G146" s="301"/>
      <c r="H146" s="301"/>
      <c r="I146" s="301"/>
      <c r="J146" s="303"/>
      <c r="L146" s="162"/>
    </row>
    <row r="147" spans="1:12" ht="15" customHeight="1">
      <c r="A147" s="327" t="s">
        <v>949</v>
      </c>
      <c r="B147" s="328"/>
      <c r="C147" s="328"/>
      <c r="D147" s="328"/>
      <c r="E147" s="328"/>
      <c r="F147" s="328"/>
      <c r="G147" s="328"/>
      <c r="H147" s="328"/>
      <c r="I147" s="328"/>
      <c r="J147" s="329"/>
      <c r="L147" s="162"/>
    </row>
    <row r="148" spans="1:12" ht="15" customHeight="1">
      <c r="A148" s="330"/>
      <c r="B148" s="331"/>
      <c r="C148" s="331"/>
      <c r="D148" s="331"/>
      <c r="E148" s="331"/>
      <c r="F148" s="331"/>
      <c r="G148" s="331"/>
      <c r="H148" s="331"/>
      <c r="I148" s="331"/>
      <c r="J148" s="332"/>
    </row>
    <row r="149" spans="1:12" ht="15" customHeight="1">
      <c r="A149" s="330"/>
      <c r="B149" s="331"/>
      <c r="C149" s="331"/>
      <c r="D149" s="331"/>
      <c r="E149" s="331"/>
      <c r="F149" s="331"/>
      <c r="G149" s="331"/>
      <c r="H149" s="331"/>
      <c r="I149" s="331"/>
      <c r="J149" s="332"/>
    </row>
    <row r="150" spans="1:12" ht="15" customHeight="1">
      <c r="A150" s="330"/>
      <c r="B150" s="331"/>
      <c r="C150" s="331"/>
      <c r="D150" s="331"/>
      <c r="E150" s="331"/>
      <c r="F150" s="331"/>
      <c r="G150" s="331"/>
      <c r="H150" s="331"/>
      <c r="I150" s="331"/>
      <c r="J150" s="332"/>
    </row>
    <row r="151" spans="1:12" ht="15" customHeight="1">
      <c r="A151" s="330"/>
      <c r="B151" s="331"/>
      <c r="C151" s="331"/>
      <c r="D151" s="331"/>
      <c r="E151" s="331"/>
      <c r="F151" s="331"/>
      <c r="G151" s="331"/>
      <c r="H151" s="331"/>
      <c r="I151" s="331"/>
      <c r="J151" s="332"/>
    </row>
    <row r="152" spans="1:12" ht="15" customHeight="1">
      <c r="A152" s="330"/>
      <c r="B152" s="331"/>
      <c r="C152" s="331"/>
      <c r="D152" s="331"/>
      <c r="E152" s="331"/>
      <c r="F152" s="331"/>
      <c r="G152" s="331"/>
      <c r="H152" s="331"/>
      <c r="I152" s="331"/>
      <c r="J152" s="332"/>
    </row>
    <row r="153" spans="1:12" ht="15" customHeight="1">
      <c r="A153" s="330"/>
      <c r="B153" s="331"/>
      <c r="C153" s="331"/>
      <c r="D153" s="331"/>
      <c r="E153" s="331"/>
      <c r="F153" s="331"/>
      <c r="G153" s="331"/>
      <c r="H153" s="331"/>
      <c r="I153" s="331"/>
      <c r="J153" s="332"/>
    </row>
    <row r="154" spans="1:12" ht="15" customHeight="1">
      <c r="A154" s="330"/>
      <c r="B154" s="331"/>
      <c r="C154" s="331"/>
      <c r="D154" s="331"/>
      <c r="E154" s="331"/>
      <c r="F154" s="331"/>
      <c r="G154" s="331"/>
      <c r="H154" s="331"/>
      <c r="I154" s="331"/>
      <c r="J154" s="332"/>
    </row>
    <row r="155" spans="1:12" ht="15" customHeight="1">
      <c r="A155" s="330"/>
      <c r="B155" s="331"/>
      <c r="C155" s="331"/>
      <c r="D155" s="331"/>
      <c r="E155" s="331"/>
      <c r="F155" s="331"/>
      <c r="G155" s="331"/>
      <c r="H155" s="331"/>
      <c r="I155" s="331"/>
      <c r="J155" s="332"/>
    </row>
    <row r="156" spans="1:12" ht="15" customHeight="1">
      <c r="A156" s="330"/>
      <c r="B156" s="331"/>
      <c r="C156" s="331"/>
      <c r="D156" s="331"/>
      <c r="E156" s="331"/>
      <c r="F156" s="331"/>
      <c r="G156" s="331"/>
      <c r="H156" s="331"/>
      <c r="I156" s="331"/>
      <c r="J156" s="332"/>
    </row>
    <row r="157" spans="1:12" ht="15" customHeight="1">
      <c r="A157" s="330"/>
      <c r="B157" s="331"/>
      <c r="C157" s="331"/>
      <c r="D157" s="331"/>
      <c r="E157" s="331"/>
      <c r="F157" s="331"/>
      <c r="G157" s="331"/>
      <c r="H157" s="331"/>
      <c r="I157" s="331"/>
      <c r="J157" s="332"/>
      <c r="L157" s="162"/>
    </row>
    <row r="158" spans="1:12" ht="15" customHeight="1">
      <c r="A158" s="330"/>
      <c r="B158" s="331"/>
      <c r="C158" s="331"/>
      <c r="D158" s="331"/>
      <c r="E158" s="331"/>
      <c r="F158" s="331"/>
      <c r="G158" s="331"/>
      <c r="H158" s="331"/>
      <c r="I158" s="331"/>
      <c r="J158" s="332"/>
      <c r="L158" s="162"/>
    </row>
    <row r="159" spans="1:12" ht="15" customHeight="1">
      <c r="A159" s="330"/>
      <c r="B159" s="331"/>
      <c r="C159" s="331"/>
      <c r="D159" s="331"/>
      <c r="E159" s="331"/>
      <c r="F159" s="331"/>
      <c r="G159" s="331"/>
      <c r="H159" s="331"/>
      <c r="I159" s="331"/>
      <c r="J159" s="332"/>
      <c r="L159" s="162"/>
    </row>
    <row r="160" spans="1:12" ht="15" customHeight="1">
      <c r="A160" s="330"/>
      <c r="B160" s="331"/>
      <c r="C160" s="331"/>
      <c r="D160" s="331"/>
      <c r="E160" s="331"/>
      <c r="F160" s="331"/>
      <c r="G160" s="331"/>
      <c r="H160" s="331"/>
      <c r="I160" s="331"/>
      <c r="J160" s="332"/>
      <c r="L160" s="162"/>
    </row>
    <row r="161" spans="1:12" ht="15" customHeight="1">
      <c r="A161" s="330"/>
      <c r="B161" s="331"/>
      <c r="C161" s="331"/>
      <c r="D161" s="331"/>
      <c r="E161" s="331"/>
      <c r="F161" s="331"/>
      <c r="G161" s="331"/>
      <c r="H161" s="331"/>
      <c r="I161" s="331"/>
      <c r="J161" s="332"/>
      <c r="L161" s="162"/>
    </row>
    <row r="162" spans="1:12" ht="15" customHeight="1">
      <c r="A162" s="330"/>
      <c r="B162" s="331"/>
      <c r="C162" s="331"/>
      <c r="D162" s="331"/>
      <c r="E162" s="331"/>
      <c r="F162" s="331"/>
      <c r="G162" s="331"/>
      <c r="H162" s="331"/>
      <c r="I162" s="331"/>
      <c r="J162" s="332"/>
      <c r="L162" s="162"/>
    </row>
    <row r="163" spans="1:12" ht="15" customHeight="1">
      <c r="A163" s="330"/>
      <c r="B163" s="331"/>
      <c r="C163" s="331"/>
      <c r="D163" s="331"/>
      <c r="E163" s="331"/>
      <c r="F163" s="331"/>
      <c r="G163" s="331"/>
      <c r="H163" s="331"/>
      <c r="I163" s="331"/>
      <c r="J163" s="332"/>
      <c r="L163" s="162"/>
    </row>
    <row r="164" spans="1:12" ht="15" customHeight="1">
      <c r="A164" s="330"/>
      <c r="B164" s="331"/>
      <c r="C164" s="331"/>
      <c r="D164" s="331"/>
      <c r="E164" s="331"/>
      <c r="F164" s="331"/>
      <c r="G164" s="331"/>
      <c r="H164" s="331"/>
      <c r="I164" s="331"/>
      <c r="J164" s="332"/>
      <c r="L164" s="162"/>
    </row>
    <row r="165" spans="1:12" ht="15" customHeight="1">
      <c r="A165" s="330"/>
      <c r="B165" s="331"/>
      <c r="C165" s="331"/>
      <c r="D165" s="331"/>
      <c r="E165" s="331"/>
      <c r="F165" s="331"/>
      <c r="G165" s="331"/>
      <c r="H165" s="331"/>
      <c r="I165" s="331"/>
      <c r="J165" s="332"/>
      <c r="L165" s="162"/>
    </row>
    <row r="166" spans="1:12" ht="15" customHeight="1">
      <c r="A166" s="330"/>
      <c r="B166" s="331"/>
      <c r="C166" s="331"/>
      <c r="D166" s="331"/>
      <c r="E166" s="331"/>
      <c r="F166" s="331"/>
      <c r="G166" s="331"/>
      <c r="H166" s="331"/>
      <c r="I166" s="331"/>
      <c r="J166" s="332"/>
      <c r="L166" s="162"/>
    </row>
    <row r="167" spans="1:12" ht="15" customHeight="1">
      <c r="A167" s="330"/>
      <c r="B167" s="331"/>
      <c r="C167" s="331"/>
      <c r="D167" s="331"/>
      <c r="E167" s="331"/>
      <c r="F167" s="331"/>
      <c r="G167" s="331"/>
      <c r="H167" s="331"/>
      <c r="I167" s="331"/>
      <c r="J167" s="332"/>
      <c r="L167" s="162"/>
    </row>
    <row r="168" spans="1:12" ht="15" customHeight="1">
      <c r="A168" s="330"/>
      <c r="B168" s="331"/>
      <c r="C168" s="331"/>
      <c r="D168" s="331"/>
      <c r="E168" s="331"/>
      <c r="F168" s="331"/>
      <c r="G168" s="331"/>
      <c r="H168" s="331"/>
      <c r="I168" s="331"/>
      <c r="J168" s="332"/>
      <c r="L168" s="162"/>
    </row>
    <row r="169" spans="1:12" ht="15" customHeight="1">
      <c r="A169" s="330"/>
      <c r="B169" s="331"/>
      <c r="C169" s="331"/>
      <c r="D169" s="331"/>
      <c r="E169" s="331"/>
      <c r="F169" s="331"/>
      <c r="G169" s="331"/>
      <c r="H169" s="331"/>
      <c r="I169" s="331"/>
      <c r="J169" s="332"/>
      <c r="L169" s="162"/>
    </row>
    <row r="170" spans="1:12" ht="15" customHeight="1">
      <c r="A170" s="330"/>
      <c r="B170" s="331"/>
      <c r="C170" s="331"/>
      <c r="D170" s="331"/>
      <c r="E170" s="331"/>
      <c r="F170" s="331"/>
      <c r="G170" s="331"/>
      <c r="H170" s="331"/>
      <c r="I170" s="331"/>
      <c r="J170" s="332"/>
      <c r="K170" s="159"/>
      <c r="L170" s="159"/>
    </row>
    <row r="171" spans="1:12" ht="15" customHeight="1">
      <c r="A171" s="330"/>
      <c r="B171" s="331"/>
      <c r="C171" s="331"/>
      <c r="D171" s="331"/>
      <c r="E171" s="331"/>
      <c r="F171" s="331"/>
      <c r="G171" s="331"/>
      <c r="H171" s="331"/>
      <c r="I171" s="331"/>
      <c r="J171" s="332"/>
    </row>
    <row r="172" spans="1:12" ht="15" customHeight="1">
      <c r="A172" s="330"/>
      <c r="B172" s="331"/>
      <c r="C172" s="331"/>
      <c r="D172" s="331"/>
      <c r="E172" s="331"/>
      <c r="F172" s="331"/>
      <c r="G172" s="331"/>
      <c r="H172" s="331"/>
      <c r="I172" s="331"/>
      <c r="J172" s="332"/>
    </row>
    <row r="173" spans="1:12" ht="15" customHeight="1">
      <c r="A173" s="330"/>
      <c r="B173" s="331"/>
      <c r="C173" s="331"/>
      <c r="D173" s="331"/>
      <c r="E173" s="331"/>
      <c r="F173" s="331"/>
      <c r="G173" s="331"/>
      <c r="H173" s="331"/>
      <c r="I173" s="331"/>
      <c r="J173" s="332"/>
    </row>
    <row r="174" spans="1:12" ht="15" customHeight="1">
      <c r="A174" s="333"/>
      <c r="B174" s="334"/>
      <c r="C174" s="334"/>
      <c r="D174" s="334"/>
      <c r="E174" s="334"/>
      <c r="F174" s="334"/>
      <c r="G174" s="334"/>
      <c r="H174" s="334"/>
      <c r="I174" s="334"/>
      <c r="J174" s="335"/>
    </row>
    <row r="175" spans="1:12" ht="15" customHeight="1">
      <c r="A175" s="161"/>
      <c r="B175" s="161"/>
      <c r="C175" s="161"/>
      <c r="D175" s="161"/>
      <c r="E175" s="161"/>
      <c r="F175" s="161"/>
      <c r="G175" s="161"/>
      <c r="H175" s="161"/>
      <c r="I175" s="161"/>
      <c r="J175" s="161"/>
    </row>
    <row r="176" spans="1:12" ht="15" customHeight="1">
      <c r="A176" s="161"/>
      <c r="B176" s="161"/>
      <c r="C176" s="161"/>
      <c r="D176" s="161"/>
      <c r="E176" s="161"/>
      <c r="F176" s="161"/>
      <c r="G176" s="161"/>
      <c r="H176" s="161"/>
      <c r="I176" s="161"/>
      <c r="J176" s="161"/>
    </row>
    <row r="177" spans="1:26" ht="12.75" customHeight="1">
      <c r="A177" s="286" t="s">
        <v>69</v>
      </c>
      <c r="B177" s="287"/>
      <c r="C177" s="287"/>
      <c r="D177" s="287"/>
      <c r="E177" s="287"/>
      <c r="F177" s="287"/>
      <c r="G177" s="287"/>
      <c r="H177" s="288" t="str">
        <f>'[1]CONTACT INFORMATION'!$A$24</f>
        <v>San Francisco</v>
      </c>
      <c r="I177" s="287"/>
      <c r="J177" s="289"/>
      <c r="K177" s="160"/>
      <c r="L177" s="160"/>
      <c r="M177" s="160"/>
      <c r="N177" s="160"/>
      <c r="O177" s="160"/>
      <c r="P177" s="160"/>
      <c r="Q177" s="160"/>
      <c r="R177" s="160"/>
      <c r="S177" s="160"/>
      <c r="T177" s="160"/>
    </row>
    <row r="178" spans="1:26" ht="7.5" customHeight="1">
      <c r="A178" s="154"/>
      <c r="B178" s="154"/>
      <c r="C178" s="154"/>
      <c r="D178" s="154"/>
      <c r="E178" s="154"/>
      <c r="F178" s="154"/>
      <c r="G178" s="154"/>
      <c r="H178" s="154"/>
      <c r="I178" s="154"/>
      <c r="J178" s="154"/>
    </row>
    <row r="179" spans="1:26" ht="12.75" customHeight="1">
      <c r="A179" s="310" t="s">
        <v>163</v>
      </c>
      <c r="B179" s="287"/>
      <c r="C179" s="287"/>
      <c r="D179" s="287"/>
      <c r="E179" s="287"/>
      <c r="F179" s="287"/>
      <c r="G179" s="287"/>
      <c r="H179" s="287"/>
      <c r="I179" s="287"/>
      <c r="J179" s="289"/>
    </row>
    <row r="180" spans="1:26" ht="12.75" customHeight="1">
      <c r="A180" s="311" t="s">
        <v>144</v>
      </c>
      <c r="B180" s="312"/>
      <c r="C180" s="312"/>
      <c r="D180" s="313"/>
      <c r="E180" s="314" t="s">
        <v>936</v>
      </c>
      <c r="F180" s="315"/>
      <c r="G180" s="315"/>
      <c r="H180" s="315"/>
      <c r="I180" s="315"/>
      <c r="J180" s="316"/>
    </row>
    <row r="181" spans="1:26" ht="12.75" customHeight="1">
      <c r="A181" s="320" t="s">
        <v>145</v>
      </c>
      <c r="B181" s="301"/>
      <c r="C181" s="301"/>
      <c r="D181" s="303"/>
      <c r="E181" s="317"/>
      <c r="F181" s="318"/>
      <c r="G181" s="318"/>
      <c r="H181" s="318"/>
      <c r="I181" s="318"/>
      <c r="J181" s="319"/>
    </row>
    <row r="182" spans="1:26" ht="12.75" customHeight="1">
      <c r="A182" s="296" t="s">
        <v>934</v>
      </c>
      <c r="B182" s="287"/>
      <c r="C182" s="287"/>
      <c r="D182" s="289"/>
      <c r="E182" s="321" t="s">
        <v>100</v>
      </c>
      <c r="F182" s="287"/>
      <c r="G182" s="287"/>
      <c r="H182" s="287"/>
      <c r="I182" s="287"/>
      <c r="J182" s="289"/>
    </row>
    <row r="183" spans="1:26" ht="27" customHeight="1">
      <c r="A183" s="153"/>
      <c r="B183" s="152"/>
      <c r="C183" s="152"/>
      <c r="D183" s="152"/>
      <c r="E183" s="300" t="s">
        <v>147</v>
      </c>
      <c r="F183" s="301"/>
      <c r="G183" s="300" t="s">
        <v>148</v>
      </c>
      <c r="H183" s="301"/>
      <c r="I183" s="302" t="s">
        <v>149</v>
      </c>
      <c r="J183" s="303"/>
      <c r="U183" s="160"/>
      <c r="V183" s="160"/>
      <c r="W183" s="160"/>
      <c r="X183" s="160"/>
      <c r="Y183" s="160"/>
      <c r="Z183" s="160"/>
    </row>
    <row r="184" spans="1:26" ht="12.75" customHeight="1">
      <c r="A184" s="297" t="s">
        <v>150</v>
      </c>
      <c r="B184" s="287"/>
      <c r="C184" s="287"/>
      <c r="D184" s="289"/>
      <c r="E184" s="298">
        <v>43054</v>
      </c>
      <c r="F184" s="289"/>
      <c r="G184" s="298"/>
      <c r="H184" s="289"/>
      <c r="I184" s="299"/>
      <c r="J184" s="289"/>
    </row>
    <row r="185" spans="1:26" ht="12.75" customHeight="1">
      <c r="A185" s="305" t="s">
        <v>151</v>
      </c>
      <c r="B185" s="287"/>
      <c r="C185" s="287"/>
      <c r="D185" s="289"/>
      <c r="E185" s="306"/>
      <c r="F185" s="289"/>
      <c r="G185" s="322"/>
      <c r="H185" s="289"/>
      <c r="I185" s="323"/>
      <c r="J185" s="289"/>
    </row>
    <row r="186" spans="1:26" ht="12.75" customHeight="1">
      <c r="A186" s="297" t="s">
        <v>152</v>
      </c>
      <c r="B186" s="287"/>
      <c r="C186" s="287"/>
      <c r="D186" s="289"/>
      <c r="E186" s="298"/>
      <c r="F186" s="289"/>
      <c r="G186" s="298"/>
      <c r="H186" s="289"/>
      <c r="I186" s="299"/>
      <c r="J186" s="289"/>
    </row>
    <row r="187" spans="1:26" ht="12.75" customHeight="1">
      <c r="A187" s="305" t="s">
        <v>153</v>
      </c>
      <c r="B187" s="287"/>
      <c r="C187" s="287"/>
      <c r="D187" s="289"/>
      <c r="E187" s="306">
        <v>440689</v>
      </c>
      <c r="F187" s="289"/>
      <c r="G187" s="322"/>
      <c r="H187" s="289"/>
      <c r="I187" s="323"/>
      <c r="J187" s="289"/>
    </row>
    <row r="188" spans="1:26" ht="12.75" customHeight="1">
      <c r="A188" s="297" t="s">
        <v>154</v>
      </c>
      <c r="B188" s="287"/>
      <c r="C188" s="287"/>
      <c r="D188" s="289"/>
      <c r="E188" s="298"/>
      <c r="F188" s="289"/>
      <c r="G188" s="298"/>
      <c r="H188" s="289"/>
      <c r="I188" s="299"/>
      <c r="J188" s="289"/>
    </row>
    <row r="189" spans="1:26" ht="12.75" customHeight="1">
      <c r="A189" s="305" t="s">
        <v>155</v>
      </c>
      <c r="B189" s="287"/>
      <c r="C189" s="287"/>
      <c r="D189" s="289"/>
      <c r="E189" s="306"/>
      <c r="F189" s="289"/>
      <c r="G189" s="322"/>
      <c r="H189" s="289"/>
      <c r="I189" s="323"/>
      <c r="J189" s="289"/>
    </row>
    <row r="190" spans="1:26" ht="12.75" customHeight="1">
      <c r="A190" s="297" t="s">
        <v>156</v>
      </c>
      <c r="B190" s="287"/>
      <c r="C190" s="287"/>
      <c r="D190" s="289"/>
      <c r="E190" s="325"/>
      <c r="F190" s="289"/>
      <c r="G190" s="325"/>
      <c r="H190" s="289"/>
      <c r="I190" s="326"/>
      <c r="J190" s="289"/>
    </row>
    <row r="191" spans="1:26" ht="12.75" customHeight="1">
      <c r="A191" s="324"/>
      <c r="B191" s="287"/>
      <c r="C191" s="287"/>
      <c r="D191" s="289"/>
      <c r="E191" s="306"/>
      <c r="F191" s="289"/>
      <c r="G191" s="322"/>
      <c r="H191" s="289"/>
      <c r="I191" s="322"/>
      <c r="J191" s="289"/>
    </row>
    <row r="192" spans="1:26" ht="12.75" customHeight="1">
      <c r="A192" s="324"/>
      <c r="B192" s="287"/>
      <c r="C192" s="287"/>
      <c r="D192" s="289"/>
      <c r="E192" s="306"/>
      <c r="F192" s="289"/>
      <c r="G192" s="322"/>
      <c r="H192" s="289"/>
      <c r="I192" s="322"/>
      <c r="J192" s="289"/>
    </row>
    <row r="193" spans="1:10" ht="12.75" customHeight="1">
      <c r="A193" s="324"/>
      <c r="B193" s="287"/>
      <c r="C193" s="287"/>
      <c r="D193" s="289"/>
      <c r="E193" s="306"/>
      <c r="F193" s="289"/>
      <c r="G193" s="322"/>
      <c r="H193" s="289"/>
      <c r="I193" s="322"/>
      <c r="J193" s="289"/>
    </row>
    <row r="194" spans="1:10" ht="12.75" customHeight="1">
      <c r="A194" s="337" t="s">
        <v>157</v>
      </c>
      <c r="B194" s="287"/>
      <c r="C194" s="287"/>
      <c r="D194" s="289"/>
      <c r="E194" s="338">
        <f>SUM(E184:E193)</f>
        <v>483743</v>
      </c>
      <c r="F194" s="289"/>
      <c r="G194" s="338">
        <f>SUM(G184:G193)</f>
        <v>0</v>
      </c>
      <c r="H194" s="289"/>
      <c r="I194" s="338">
        <f>SUM(I184:I193)</f>
        <v>0</v>
      </c>
      <c r="J194" s="289"/>
    </row>
    <row r="195" spans="1:10" ht="14.25" customHeight="1">
      <c r="A195" s="339" t="s">
        <v>158</v>
      </c>
      <c r="B195" s="312"/>
      <c r="C195" s="312"/>
      <c r="D195" s="312"/>
      <c r="E195" s="312"/>
      <c r="F195" s="312"/>
      <c r="G195" s="312"/>
      <c r="H195" s="312"/>
      <c r="I195" s="312"/>
      <c r="J195" s="313"/>
    </row>
    <row r="196" spans="1:10" ht="14.25" customHeight="1">
      <c r="A196" s="340" t="s">
        <v>159</v>
      </c>
      <c r="B196" s="341"/>
      <c r="C196" s="341"/>
      <c r="D196" s="341"/>
      <c r="E196" s="341"/>
      <c r="F196" s="341"/>
      <c r="G196" s="341"/>
      <c r="H196" s="341"/>
      <c r="I196" s="341"/>
      <c r="J196" s="342"/>
    </row>
    <row r="197" spans="1:10" ht="14.25" customHeight="1">
      <c r="A197" s="340" t="s">
        <v>160</v>
      </c>
      <c r="B197" s="341"/>
      <c r="C197" s="341"/>
      <c r="D197" s="341"/>
      <c r="E197" s="341"/>
      <c r="F197" s="341"/>
      <c r="G197" s="341"/>
      <c r="H197" s="341"/>
      <c r="I197" s="341"/>
      <c r="J197" s="342"/>
    </row>
    <row r="198" spans="1:10" ht="14.25" customHeight="1">
      <c r="A198" s="336" t="s">
        <v>161</v>
      </c>
      <c r="B198" s="301"/>
      <c r="C198" s="301"/>
      <c r="D198" s="301"/>
      <c r="E198" s="301"/>
      <c r="F198" s="301"/>
      <c r="G198" s="301"/>
      <c r="H198" s="301"/>
      <c r="I198" s="301"/>
      <c r="J198" s="303"/>
    </row>
    <row r="199" spans="1:10" ht="15.75" customHeight="1">
      <c r="A199" s="343" t="s">
        <v>950</v>
      </c>
      <c r="B199" s="344"/>
      <c r="C199" s="344"/>
      <c r="D199" s="344"/>
      <c r="E199" s="344"/>
      <c r="F199" s="344"/>
      <c r="G199" s="344"/>
      <c r="H199" s="344"/>
      <c r="I199" s="344"/>
      <c r="J199" s="345"/>
    </row>
    <row r="200" spans="1:10" ht="15" customHeight="1">
      <c r="A200" s="346"/>
      <c r="B200" s="347"/>
      <c r="C200" s="347"/>
      <c r="D200" s="347"/>
      <c r="E200" s="347"/>
      <c r="F200" s="347"/>
      <c r="G200" s="347"/>
      <c r="H200" s="347"/>
      <c r="I200" s="347"/>
      <c r="J200" s="348"/>
    </row>
    <row r="201" spans="1:10" ht="15" customHeight="1">
      <c r="A201" s="346"/>
      <c r="B201" s="347"/>
      <c r="C201" s="347"/>
      <c r="D201" s="347"/>
      <c r="E201" s="347"/>
      <c r="F201" s="347"/>
      <c r="G201" s="347"/>
      <c r="H201" s="347"/>
      <c r="I201" s="347"/>
      <c r="J201" s="348"/>
    </row>
    <row r="202" spans="1:10" ht="15" customHeight="1">
      <c r="A202" s="346"/>
      <c r="B202" s="347"/>
      <c r="C202" s="347"/>
      <c r="D202" s="347"/>
      <c r="E202" s="347"/>
      <c r="F202" s="347"/>
      <c r="G202" s="347"/>
      <c r="H202" s="347"/>
      <c r="I202" s="347"/>
      <c r="J202" s="348"/>
    </row>
    <row r="203" spans="1:10" ht="15" customHeight="1">
      <c r="A203" s="346"/>
      <c r="B203" s="347"/>
      <c r="C203" s="347"/>
      <c r="D203" s="347"/>
      <c r="E203" s="347"/>
      <c r="F203" s="347"/>
      <c r="G203" s="347"/>
      <c r="H203" s="347"/>
      <c r="I203" s="347"/>
      <c r="J203" s="348"/>
    </row>
    <row r="204" spans="1:10" ht="15" customHeight="1">
      <c r="A204" s="346"/>
      <c r="B204" s="347"/>
      <c r="C204" s="347"/>
      <c r="D204" s="347"/>
      <c r="E204" s="347"/>
      <c r="F204" s="347"/>
      <c r="G204" s="347"/>
      <c r="H204" s="347"/>
      <c r="I204" s="347"/>
      <c r="J204" s="348"/>
    </row>
    <row r="205" spans="1:10" ht="15" customHeight="1">
      <c r="A205" s="346"/>
      <c r="B205" s="347"/>
      <c r="C205" s="347"/>
      <c r="D205" s="347"/>
      <c r="E205" s="347"/>
      <c r="F205" s="347"/>
      <c r="G205" s="347"/>
      <c r="H205" s="347"/>
      <c r="I205" s="347"/>
      <c r="J205" s="348"/>
    </row>
    <row r="206" spans="1:10" ht="15" customHeight="1">
      <c r="A206" s="346"/>
      <c r="B206" s="347"/>
      <c r="C206" s="347"/>
      <c r="D206" s="347"/>
      <c r="E206" s="347"/>
      <c r="F206" s="347"/>
      <c r="G206" s="347"/>
      <c r="H206" s="347"/>
      <c r="I206" s="347"/>
      <c r="J206" s="348"/>
    </row>
    <row r="207" spans="1:10" ht="15" customHeight="1">
      <c r="A207" s="346"/>
      <c r="B207" s="347"/>
      <c r="C207" s="347"/>
      <c r="D207" s="347"/>
      <c r="E207" s="347"/>
      <c r="F207" s="347"/>
      <c r="G207" s="347"/>
      <c r="H207" s="347"/>
      <c r="I207" s="347"/>
      <c r="J207" s="348"/>
    </row>
    <row r="208" spans="1:10" ht="15" customHeight="1">
      <c r="A208" s="346"/>
      <c r="B208" s="347"/>
      <c r="C208" s="347"/>
      <c r="D208" s="347"/>
      <c r="E208" s="347"/>
      <c r="F208" s="347"/>
      <c r="G208" s="347"/>
      <c r="H208" s="347"/>
      <c r="I208" s="347"/>
      <c r="J208" s="348"/>
    </row>
    <row r="209" spans="1:12" ht="15" customHeight="1">
      <c r="A209" s="346"/>
      <c r="B209" s="347"/>
      <c r="C209" s="347"/>
      <c r="D209" s="347"/>
      <c r="E209" s="347"/>
      <c r="F209" s="347"/>
      <c r="G209" s="347"/>
      <c r="H209" s="347"/>
      <c r="I209" s="347"/>
      <c r="J209" s="348"/>
    </row>
    <row r="210" spans="1:12" ht="15" customHeight="1">
      <c r="A210" s="346"/>
      <c r="B210" s="347"/>
      <c r="C210" s="347"/>
      <c r="D210" s="347"/>
      <c r="E210" s="347"/>
      <c r="F210" s="347"/>
      <c r="G210" s="347"/>
      <c r="H210" s="347"/>
      <c r="I210" s="347"/>
      <c r="J210" s="348"/>
    </row>
    <row r="211" spans="1:12" ht="15" customHeight="1">
      <c r="A211" s="346"/>
      <c r="B211" s="347"/>
      <c r="C211" s="347"/>
      <c r="D211" s="347"/>
      <c r="E211" s="347"/>
      <c r="F211" s="347"/>
      <c r="G211" s="347"/>
      <c r="H211" s="347"/>
      <c r="I211" s="347"/>
      <c r="J211" s="348"/>
    </row>
    <row r="212" spans="1:12" ht="15" customHeight="1">
      <c r="A212" s="346"/>
      <c r="B212" s="347"/>
      <c r="C212" s="347"/>
      <c r="D212" s="347"/>
      <c r="E212" s="347"/>
      <c r="F212" s="347"/>
      <c r="G212" s="347"/>
      <c r="H212" s="347"/>
      <c r="I212" s="347"/>
      <c r="J212" s="348"/>
    </row>
    <row r="213" spans="1:12" ht="15" customHeight="1">
      <c r="A213" s="346"/>
      <c r="B213" s="347"/>
      <c r="C213" s="347"/>
      <c r="D213" s="347"/>
      <c r="E213" s="347"/>
      <c r="F213" s="347"/>
      <c r="G213" s="347"/>
      <c r="H213" s="347"/>
      <c r="I213" s="347"/>
      <c r="J213" s="348"/>
    </row>
    <row r="214" spans="1:12" ht="15" customHeight="1">
      <c r="A214" s="346"/>
      <c r="B214" s="347"/>
      <c r="C214" s="347"/>
      <c r="D214" s="347"/>
      <c r="E214" s="347"/>
      <c r="F214" s="347"/>
      <c r="G214" s="347"/>
      <c r="H214" s="347"/>
      <c r="I214" s="347"/>
      <c r="J214" s="348"/>
    </row>
    <row r="215" spans="1:12" ht="15" customHeight="1">
      <c r="A215" s="346"/>
      <c r="B215" s="347"/>
      <c r="C215" s="347"/>
      <c r="D215" s="347"/>
      <c r="E215" s="347"/>
      <c r="F215" s="347"/>
      <c r="G215" s="347"/>
      <c r="H215" s="347"/>
      <c r="I215" s="347"/>
      <c r="J215" s="348"/>
    </row>
    <row r="216" spans="1:12" ht="15" customHeight="1">
      <c r="A216" s="346"/>
      <c r="B216" s="347"/>
      <c r="C216" s="347"/>
      <c r="D216" s="347"/>
      <c r="E216" s="347"/>
      <c r="F216" s="347"/>
      <c r="G216" s="347"/>
      <c r="H216" s="347"/>
      <c r="I216" s="347"/>
      <c r="J216" s="348"/>
    </row>
    <row r="217" spans="1:12" ht="15" customHeight="1">
      <c r="A217" s="346"/>
      <c r="B217" s="347"/>
      <c r="C217" s="347"/>
      <c r="D217" s="347"/>
      <c r="E217" s="347"/>
      <c r="F217" s="347"/>
      <c r="G217" s="347"/>
      <c r="H217" s="347"/>
      <c r="I217" s="347"/>
      <c r="J217" s="348"/>
    </row>
    <row r="218" spans="1:12" ht="15" customHeight="1">
      <c r="A218" s="346"/>
      <c r="B218" s="347"/>
      <c r="C218" s="347"/>
      <c r="D218" s="347"/>
      <c r="E218" s="347"/>
      <c r="F218" s="347"/>
      <c r="G218" s="347"/>
      <c r="H218" s="347"/>
      <c r="I218" s="347"/>
      <c r="J218" s="348"/>
    </row>
    <row r="219" spans="1:12" ht="15" customHeight="1">
      <c r="A219" s="346"/>
      <c r="B219" s="347"/>
      <c r="C219" s="347"/>
      <c r="D219" s="347"/>
      <c r="E219" s="347"/>
      <c r="F219" s="347"/>
      <c r="G219" s="347"/>
      <c r="H219" s="347"/>
      <c r="I219" s="347"/>
      <c r="J219" s="348"/>
    </row>
    <row r="220" spans="1:12" ht="15" customHeight="1">
      <c r="A220" s="346"/>
      <c r="B220" s="347"/>
      <c r="C220" s="347"/>
      <c r="D220" s="347"/>
      <c r="E220" s="347"/>
      <c r="F220" s="347"/>
      <c r="G220" s="347"/>
      <c r="H220" s="347"/>
      <c r="I220" s="347"/>
      <c r="J220" s="348"/>
    </row>
    <row r="221" spans="1:12" ht="15" customHeight="1">
      <c r="A221" s="346"/>
      <c r="B221" s="347"/>
      <c r="C221" s="347"/>
      <c r="D221" s="347"/>
      <c r="E221" s="347"/>
      <c r="F221" s="347"/>
      <c r="G221" s="347"/>
      <c r="H221" s="347"/>
      <c r="I221" s="347"/>
      <c r="J221" s="348"/>
      <c r="K221" s="159"/>
      <c r="L221" s="159"/>
    </row>
    <row r="222" spans="1:12" ht="15" customHeight="1">
      <c r="A222" s="346"/>
      <c r="B222" s="347"/>
      <c r="C222" s="347"/>
      <c r="D222" s="347"/>
      <c r="E222" s="347"/>
      <c r="F222" s="347"/>
      <c r="G222" s="347"/>
      <c r="H222" s="347"/>
      <c r="I222" s="347"/>
      <c r="J222" s="348"/>
    </row>
    <row r="223" spans="1:12" ht="15" customHeight="1">
      <c r="A223" s="346"/>
      <c r="B223" s="347"/>
      <c r="C223" s="347"/>
      <c r="D223" s="347"/>
      <c r="E223" s="347"/>
      <c r="F223" s="347"/>
      <c r="G223" s="347"/>
      <c r="H223" s="347"/>
      <c r="I223" s="347"/>
      <c r="J223" s="348"/>
    </row>
    <row r="224" spans="1:12" ht="15" customHeight="1">
      <c r="A224" s="346"/>
      <c r="B224" s="347"/>
      <c r="C224" s="347"/>
      <c r="D224" s="347"/>
      <c r="E224" s="347"/>
      <c r="F224" s="347"/>
      <c r="G224" s="347"/>
      <c r="H224" s="347"/>
      <c r="I224" s="347"/>
      <c r="J224" s="348"/>
    </row>
    <row r="225" spans="1:10" ht="15" customHeight="1">
      <c r="A225" s="346"/>
      <c r="B225" s="347"/>
      <c r="C225" s="347"/>
      <c r="D225" s="347"/>
      <c r="E225" s="347"/>
      <c r="F225" s="347"/>
      <c r="G225" s="347"/>
      <c r="H225" s="347"/>
      <c r="I225" s="347"/>
      <c r="J225" s="348"/>
    </row>
    <row r="226" spans="1:10" ht="15" customHeight="1">
      <c r="A226" s="349"/>
      <c r="B226" s="350"/>
      <c r="C226" s="350"/>
      <c r="D226" s="350"/>
      <c r="E226" s="350"/>
      <c r="F226" s="350"/>
      <c r="G226" s="350"/>
      <c r="H226" s="350"/>
      <c r="I226" s="350"/>
      <c r="J226" s="351"/>
    </row>
    <row r="227" spans="1:10" ht="15" customHeight="1">
      <c r="A227" s="156"/>
      <c r="B227" s="156"/>
      <c r="C227" s="156"/>
      <c r="D227" s="156"/>
      <c r="E227" s="156"/>
      <c r="F227" s="156"/>
      <c r="G227" s="156"/>
      <c r="H227" s="156"/>
      <c r="I227" s="156"/>
      <c r="J227" s="156"/>
    </row>
    <row r="228" spans="1:10" ht="15" customHeight="1">
      <c r="A228" s="156"/>
      <c r="B228" s="156"/>
      <c r="C228" s="156"/>
      <c r="D228" s="156"/>
      <c r="E228" s="156"/>
      <c r="F228" s="156"/>
      <c r="G228" s="156"/>
      <c r="H228" s="156"/>
      <c r="I228" s="156"/>
      <c r="J228" s="156"/>
    </row>
    <row r="229" spans="1:10" ht="15" customHeight="1">
      <c r="A229" s="158"/>
      <c r="B229" s="158"/>
      <c r="C229" s="158"/>
      <c r="D229" s="158"/>
      <c r="E229" s="158"/>
      <c r="F229" s="158"/>
      <c r="G229" s="158"/>
      <c r="H229" s="158"/>
      <c r="I229" s="158"/>
      <c r="J229" s="158"/>
    </row>
    <row r="230" spans="1:10" ht="12.75" customHeight="1">
      <c r="A230" s="286" t="s">
        <v>69</v>
      </c>
      <c r="B230" s="287"/>
      <c r="C230" s="287"/>
      <c r="D230" s="287"/>
      <c r="E230" s="287"/>
      <c r="F230" s="287"/>
      <c r="G230" s="287"/>
      <c r="H230" s="288" t="str">
        <f>'[1]CONTACT INFORMATION'!$A$24</f>
        <v>San Francisco</v>
      </c>
      <c r="I230" s="287"/>
      <c r="J230" s="289"/>
    </row>
    <row r="231" spans="1:10" ht="7.5" customHeight="1">
      <c r="A231" s="154"/>
      <c r="B231" s="154"/>
      <c r="C231" s="154"/>
      <c r="D231" s="154"/>
      <c r="E231" s="154"/>
      <c r="F231" s="154"/>
      <c r="G231" s="154"/>
      <c r="H231" s="154"/>
      <c r="I231" s="154"/>
      <c r="J231" s="154"/>
    </row>
    <row r="232" spans="1:10" ht="12.75" customHeight="1">
      <c r="A232" s="310" t="s">
        <v>165</v>
      </c>
      <c r="B232" s="287"/>
      <c r="C232" s="287"/>
      <c r="D232" s="287"/>
      <c r="E232" s="287"/>
      <c r="F232" s="287"/>
      <c r="G232" s="287"/>
      <c r="H232" s="287"/>
      <c r="I232" s="287"/>
      <c r="J232" s="289"/>
    </row>
    <row r="233" spans="1:10" ht="12.75" customHeight="1">
      <c r="A233" s="311" t="s">
        <v>144</v>
      </c>
      <c r="B233" s="312"/>
      <c r="C233" s="312"/>
      <c r="D233" s="313"/>
      <c r="E233" s="314" t="s">
        <v>935</v>
      </c>
      <c r="F233" s="315"/>
      <c r="G233" s="315"/>
      <c r="H233" s="315"/>
      <c r="I233" s="315"/>
      <c r="J233" s="316"/>
    </row>
    <row r="234" spans="1:10" ht="12.75" customHeight="1">
      <c r="A234" s="320" t="s">
        <v>145</v>
      </c>
      <c r="B234" s="301"/>
      <c r="C234" s="301"/>
      <c r="D234" s="303"/>
      <c r="E234" s="317"/>
      <c r="F234" s="318"/>
      <c r="G234" s="318"/>
      <c r="H234" s="318"/>
      <c r="I234" s="318"/>
      <c r="J234" s="319"/>
    </row>
    <row r="235" spans="1:10" ht="12.75" customHeight="1">
      <c r="A235" s="296" t="s">
        <v>934</v>
      </c>
      <c r="B235" s="287"/>
      <c r="C235" s="287"/>
      <c r="D235" s="289"/>
      <c r="E235" s="321" t="s">
        <v>109</v>
      </c>
      <c r="F235" s="287"/>
      <c r="G235" s="287"/>
      <c r="H235" s="287"/>
      <c r="I235" s="287"/>
      <c r="J235" s="289"/>
    </row>
    <row r="236" spans="1:10" ht="27" customHeight="1">
      <c r="A236" s="153"/>
      <c r="B236" s="152"/>
      <c r="C236" s="152"/>
      <c r="D236" s="152"/>
      <c r="E236" s="300" t="s">
        <v>147</v>
      </c>
      <c r="F236" s="301"/>
      <c r="G236" s="300" t="s">
        <v>148</v>
      </c>
      <c r="H236" s="301"/>
      <c r="I236" s="302" t="s">
        <v>149</v>
      </c>
      <c r="J236" s="303"/>
    </row>
    <row r="237" spans="1:10" ht="12.75" customHeight="1">
      <c r="A237" s="297" t="s">
        <v>150</v>
      </c>
      <c r="B237" s="287"/>
      <c r="C237" s="287"/>
      <c r="D237" s="289"/>
      <c r="E237" s="298">
        <v>50795</v>
      </c>
      <c r="F237" s="289"/>
      <c r="G237" s="298"/>
      <c r="H237" s="289"/>
      <c r="I237" s="299"/>
      <c r="J237" s="289"/>
    </row>
    <row r="238" spans="1:10" ht="12.75" customHeight="1">
      <c r="A238" s="305" t="s">
        <v>151</v>
      </c>
      <c r="B238" s="287"/>
      <c r="C238" s="287"/>
      <c r="D238" s="289"/>
      <c r="E238" s="306"/>
      <c r="F238" s="289"/>
      <c r="G238" s="322"/>
      <c r="H238" s="289"/>
      <c r="I238" s="323"/>
      <c r="J238" s="289"/>
    </row>
    <row r="239" spans="1:10" ht="12.75" customHeight="1">
      <c r="A239" s="297" t="s">
        <v>152</v>
      </c>
      <c r="B239" s="287"/>
      <c r="C239" s="287"/>
      <c r="D239" s="289"/>
      <c r="E239" s="298"/>
      <c r="F239" s="289"/>
      <c r="G239" s="298"/>
      <c r="H239" s="289"/>
      <c r="I239" s="299"/>
      <c r="J239" s="289"/>
    </row>
    <row r="240" spans="1:10" ht="12.75" customHeight="1">
      <c r="A240" s="305" t="s">
        <v>153</v>
      </c>
      <c r="B240" s="287"/>
      <c r="C240" s="287"/>
      <c r="D240" s="289"/>
      <c r="E240" s="306">
        <v>519921</v>
      </c>
      <c r="F240" s="289"/>
      <c r="G240" s="322"/>
      <c r="H240" s="289"/>
      <c r="I240" s="323"/>
      <c r="J240" s="289"/>
    </row>
    <row r="241" spans="1:10" ht="12.75" customHeight="1">
      <c r="A241" s="297" t="s">
        <v>154</v>
      </c>
      <c r="B241" s="287"/>
      <c r="C241" s="287"/>
      <c r="D241" s="289"/>
      <c r="E241" s="298"/>
      <c r="F241" s="289"/>
      <c r="G241" s="298"/>
      <c r="H241" s="289"/>
      <c r="I241" s="299"/>
      <c r="J241" s="289"/>
    </row>
    <row r="242" spans="1:10" ht="12.75" customHeight="1">
      <c r="A242" s="305" t="s">
        <v>155</v>
      </c>
      <c r="B242" s="287"/>
      <c r="C242" s="287"/>
      <c r="D242" s="289"/>
      <c r="E242" s="306"/>
      <c r="F242" s="289"/>
      <c r="G242" s="322"/>
      <c r="H242" s="289"/>
      <c r="I242" s="323"/>
      <c r="J242" s="289"/>
    </row>
    <row r="243" spans="1:10" ht="12.75" customHeight="1">
      <c r="A243" s="297" t="s">
        <v>156</v>
      </c>
      <c r="B243" s="287"/>
      <c r="C243" s="287"/>
      <c r="D243" s="289"/>
      <c r="E243" s="325"/>
      <c r="F243" s="289"/>
      <c r="G243" s="325"/>
      <c r="H243" s="289"/>
      <c r="I243" s="326"/>
      <c r="J243" s="289"/>
    </row>
    <row r="244" spans="1:10" ht="12.75" customHeight="1">
      <c r="A244" s="324"/>
      <c r="B244" s="287"/>
      <c r="C244" s="287"/>
      <c r="D244" s="289"/>
      <c r="E244" s="306"/>
      <c r="F244" s="289"/>
      <c r="G244" s="322"/>
      <c r="H244" s="289"/>
      <c r="I244" s="322"/>
      <c r="J244" s="289"/>
    </row>
    <row r="245" spans="1:10" ht="12.75" customHeight="1">
      <c r="A245" s="324"/>
      <c r="B245" s="287"/>
      <c r="C245" s="287"/>
      <c r="D245" s="289"/>
      <c r="E245" s="306"/>
      <c r="F245" s="289"/>
      <c r="G245" s="322"/>
      <c r="H245" s="289"/>
      <c r="I245" s="322"/>
      <c r="J245" s="289"/>
    </row>
    <row r="246" spans="1:10" ht="12.75" customHeight="1">
      <c r="A246" s="324"/>
      <c r="B246" s="287"/>
      <c r="C246" s="287"/>
      <c r="D246" s="289"/>
      <c r="E246" s="306"/>
      <c r="F246" s="289"/>
      <c r="G246" s="322"/>
      <c r="H246" s="289"/>
      <c r="I246" s="322"/>
      <c r="J246" s="289"/>
    </row>
    <row r="247" spans="1:10" ht="12.75" customHeight="1">
      <c r="A247" s="337" t="s">
        <v>157</v>
      </c>
      <c r="B247" s="287"/>
      <c r="C247" s="287"/>
      <c r="D247" s="289"/>
      <c r="E247" s="338">
        <f>SUM(E237:E246)</f>
        <v>570716</v>
      </c>
      <c r="F247" s="289"/>
      <c r="G247" s="338">
        <f>SUM(G237:G246)</f>
        <v>0</v>
      </c>
      <c r="H247" s="289"/>
      <c r="I247" s="338">
        <f>SUM(I237:I246)</f>
        <v>0</v>
      </c>
      <c r="J247" s="289"/>
    </row>
    <row r="248" spans="1:10" ht="12.75" customHeight="1">
      <c r="A248" s="339" t="s">
        <v>158</v>
      </c>
      <c r="B248" s="312"/>
      <c r="C248" s="312"/>
      <c r="D248" s="312"/>
      <c r="E248" s="312"/>
      <c r="F248" s="312"/>
      <c r="G248" s="312"/>
      <c r="H248" s="312"/>
      <c r="I248" s="312"/>
      <c r="J248" s="313"/>
    </row>
    <row r="249" spans="1:10" ht="12.75" customHeight="1">
      <c r="A249" s="340" t="s">
        <v>159</v>
      </c>
      <c r="B249" s="341"/>
      <c r="C249" s="341"/>
      <c r="D249" s="341"/>
      <c r="E249" s="341"/>
      <c r="F249" s="341"/>
      <c r="G249" s="341"/>
      <c r="H249" s="341"/>
      <c r="I249" s="341"/>
      <c r="J249" s="342"/>
    </row>
    <row r="250" spans="1:10" ht="12.75" customHeight="1">
      <c r="A250" s="340" t="s">
        <v>160</v>
      </c>
      <c r="B250" s="341"/>
      <c r="C250" s="341"/>
      <c r="D250" s="341"/>
      <c r="E250" s="341"/>
      <c r="F250" s="341"/>
      <c r="G250" s="341"/>
      <c r="H250" s="341"/>
      <c r="I250" s="341"/>
      <c r="J250" s="342"/>
    </row>
    <row r="251" spans="1:10" ht="12.75" customHeight="1">
      <c r="A251" s="336" t="s">
        <v>161</v>
      </c>
      <c r="B251" s="301"/>
      <c r="C251" s="301"/>
      <c r="D251" s="301"/>
      <c r="E251" s="301"/>
      <c r="F251" s="301"/>
      <c r="G251" s="301"/>
      <c r="H251" s="301"/>
      <c r="I251" s="301"/>
      <c r="J251" s="303"/>
    </row>
    <row r="252" spans="1:10" ht="12.75" customHeight="1">
      <c r="A252" s="343" t="s">
        <v>951</v>
      </c>
      <c r="B252" s="344"/>
      <c r="C252" s="344"/>
      <c r="D252" s="344"/>
      <c r="E252" s="344"/>
      <c r="F252" s="344"/>
      <c r="G252" s="344"/>
      <c r="H252" s="344"/>
      <c r="I252" s="344"/>
      <c r="J252" s="345"/>
    </row>
    <row r="253" spans="1:10" ht="12.75" customHeight="1">
      <c r="A253" s="346"/>
      <c r="B253" s="347"/>
      <c r="C253" s="347"/>
      <c r="D253" s="347"/>
      <c r="E253" s="347"/>
      <c r="F253" s="347"/>
      <c r="G253" s="347"/>
      <c r="H253" s="347"/>
      <c r="I253" s="347"/>
      <c r="J253" s="348"/>
    </row>
    <row r="254" spans="1:10" ht="12.75" customHeight="1">
      <c r="A254" s="346"/>
      <c r="B254" s="347"/>
      <c r="C254" s="347"/>
      <c r="D254" s="347"/>
      <c r="E254" s="347"/>
      <c r="F254" s="347"/>
      <c r="G254" s="347"/>
      <c r="H254" s="347"/>
      <c r="I254" s="347"/>
      <c r="J254" s="348"/>
    </row>
    <row r="255" spans="1:10" ht="12.75" customHeight="1">
      <c r="A255" s="346"/>
      <c r="B255" s="347"/>
      <c r="C255" s="347"/>
      <c r="D255" s="347"/>
      <c r="E255" s="347"/>
      <c r="F255" s="347"/>
      <c r="G255" s="347"/>
      <c r="H255" s="347"/>
      <c r="I255" s="347"/>
      <c r="J255" s="348"/>
    </row>
    <row r="256" spans="1:10" ht="12.75" customHeight="1">
      <c r="A256" s="346"/>
      <c r="B256" s="347"/>
      <c r="C256" s="347"/>
      <c r="D256" s="347"/>
      <c r="E256" s="347"/>
      <c r="F256" s="347"/>
      <c r="G256" s="347"/>
      <c r="H256" s="347"/>
      <c r="I256" s="347"/>
      <c r="J256" s="348"/>
    </row>
    <row r="257" spans="1:10" ht="12.75" customHeight="1">
      <c r="A257" s="346"/>
      <c r="B257" s="347"/>
      <c r="C257" s="347"/>
      <c r="D257" s="347"/>
      <c r="E257" s="347"/>
      <c r="F257" s="347"/>
      <c r="G257" s="347"/>
      <c r="H257" s="347"/>
      <c r="I257" s="347"/>
      <c r="J257" s="348"/>
    </row>
    <row r="258" spans="1:10" ht="12.75" customHeight="1">
      <c r="A258" s="346"/>
      <c r="B258" s="347"/>
      <c r="C258" s="347"/>
      <c r="D258" s="347"/>
      <c r="E258" s="347"/>
      <c r="F258" s="347"/>
      <c r="G258" s="347"/>
      <c r="H258" s="347"/>
      <c r="I258" s="347"/>
      <c r="J258" s="348"/>
    </row>
    <row r="259" spans="1:10" ht="12.75" customHeight="1">
      <c r="A259" s="346"/>
      <c r="B259" s="347"/>
      <c r="C259" s="347"/>
      <c r="D259" s="347"/>
      <c r="E259" s="347"/>
      <c r="F259" s="347"/>
      <c r="G259" s="347"/>
      <c r="H259" s="347"/>
      <c r="I259" s="347"/>
      <c r="J259" s="348"/>
    </row>
    <row r="260" spans="1:10" ht="12.75" customHeight="1">
      <c r="A260" s="346"/>
      <c r="B260" s="347"/>
      <c r="C260" s="347"/>
      <c r="D260" s="347"/>
      <c r="E260" s="347"/>
      <c r="F260" s="347"/>
      <c r="G260" s="347"/>
      <c r="H260" s="347"/>
      <c r="I260" s="347"/>
      <c r="J260" s="348"/>
    </row>
    <row r="261" spans="1:10" ht="12.75" customHeight="1">
      <c r="A261" s="346"/>
      <c r="B261" s="347"/>
      <c r="C261" s="347"/>
      <c r="D261" s="347"/>
      <c r="E261" s="347"/>
      <c r="F261" s="347"/>
      <c r="G261" s="347"/>
      <c r="H261" s="347"/>
      <c r="I261" s="347"/>
      <c r="J261" s="348"/>
    </row>
    <row r="262" spans="1:10" ht="12.75" customHeight="1">
      <c r="A262" s="346"/>
      <c r="B262" s="347"/>
      <c r="C262" s="347"/>
      <c r="D262" s="347"/>
      <c r="E262" s="347"/>
      <c r="F262" s="347"/>
      <c r="G262" s="347"/>
      <c r="H262" s="347"/>
      <c r="I262" s="347"/>
      <c r="J262" s="348"/>
    </row>
    <row r="263" spans="1:10" ht="12.75" customHeight="1">
      <c r="A263" s="346"/>
      <c r="B263" s="347"/>
      <c r="C263" s="347"/>
      <c r="D263" s="347"/>
      <c r="E263" s="347"/>
      <c r="F263" s="347"/>
      <c r="G263" s="347"/>
      <c r="H263" s="347"/>
      <c r="I263" s="347"/>
      <c r="J263" s="348"/>
    </row>
    <row r="264" spans="1:10" ht="12.75" customHeight="1">
      <c r="A264" s="346"/>
      <c r="B264" s="347"/>
      <c r="C264" s="347"/>
      <c r="D264" s="347"/>
      <c r="E264" s="347"/>
      <c r="F264" s="347"/>
      <c r="G264" s="347"/>
      <c r="H264" s="347"/>
      <c r="I264" s="347"/>
      <c r="J264" s="348"/>
    </row>
    <row r="265" spans="1:10" ht="12.75" customHeight="1">
      <c r="A265" s="346"/>
      <c r="B265" s="347"/>
      <c r="C265" s="347"/>
      <c r="D265" s="347"/>
      <c r="E265" s="347"/>
      <c r="F265" s="347"/>
      <c r="G265" s="347"/>
      <c r="H265" s="347"/>
      <c r="I265" s="347"/>
      <c r="J265" s="348"/>
    </row>
    <row r="266" spans="1:10" ht="12.75" customHeight="1">
      <c r="A266" s="346"/>
      <c r="B266" s="347"/>
      <c r="C266" s="347"/>
      <c r="D266" s="347"/>
      <c r="E266" s="347"/>
      <c r="F266" s="347"/>
      <c r="G266" s="347"/>
      <c r="H266" s="347"/>
      <c r="I266" s="347"/>
      <c r="J266" s="348"/>
    </row>
    <row r="267" spans="1:10" ht="12.75" customHeight="1">
      <c r="A267" s="346"/>
      <c r="B267" s="347"/>
      <c r="C267" s="347"/>
      <c r="D267" s="347"/>
      <c r="E267" s="347"/>
      <c r="F267" s="347"/>
      <c r="G267" s="347"/>
      <c r="H267" s="347"/>
      <c r="I267" s="347"/>
      <c r="J267" s="348"/>
    </row>
    <row r="268" spans="1:10" ht="12.75" customHeight="1">
      <c r="A268" s="346"/>
      <c r="B268" s="347"/>
      <c r="C268" s="347"/>
      <c r="D268" s="347"/>
      <c r="E268" s="347"/>
      <c r="F268" s="347"/>
      <c r="G268" s="347"/>
      <c r="H268" s="347"/>
      <c r="I268" s="347"/>
      <c r="J268" s="348"/>
    </row>
    <row r="269" spans="1:10" ht="12.75" customHeight="1">
      <c r="A269" s="346"/>
      <c r="B269" s="347"/>
      <c r="C269" s="347"/>
      <c r="D269" s="347"/>
      <c r="E269" s="347"/>
      <c r="F269" s="347"/>
      <c r="G269" s="347"/>
      <c r="H269" s="347"/>
      <c r="I269" s="347"/>
      <c r="J269" s="348"/>
    </row>
    <row r="270" spans="1:10" ht="12.75" customHeight="1">
      <c r="A270" s="346"/>
      <c r="B270" s="347"/>
      <c r="C270" s="347"/>
      <c r="D270" s="347"/>
      <c r="E270" s="347"/>
      <c r="F270" s="347"/>
      <c r="G270" s="347"/>
      <c r="H270" s="347"/>
      <c r="I270" s="347"/>
      <c r="J270" s="348"/>
    </row>
    <row r="271" spans="1:10" ht="12.75" customHeight="1">
      <c r="A271" s="346"/>
      <c r="B271" s="347"/>
      <c r="C271" s="347"/>
      <c r="D271" s="347"/>
      <c r="E271" s="347"/>
      <c r="F271" s="347"/>
      <c r="G271" s="347"/>
      <c r="H271" s="347"/>
      <c r="I271" s="347"/>
      <c r="J271" s="348"/>
    </row>
    <row r="272" spans="1:10" ht="12.75" customHeight="1">
      <c r="A272" s="346"/>
      <c r="B272" s="347"/>
      <c r="C272" s="347"/>
      <c r="D272" s="347"/>
      <c r="E272" s="347"/>
      <c r="F272" s="347"/>
      <c r="G272" s="347"/>
      <c r="H272" s="347"/>
      <c r="I272" s="347"/>
      <c r="J272" s="348"/>
    </row>
    <row r="273" spans="1:10" ht="12.75" customHeight="1">
      <c r="A273" s="346"/>
      <c r="B273" s="347"/>
      <c r="C273" s="347"/>
      <c r="D273" s="347"/>
      <c r="E273" s="347"/>
      <c r="F273" s="347"/>
      <c r="G273" s="347"/>
      <c r="H273" s="347"/>
      <c r="I273" s="347"/>
      <c r="J273" s="348"/>
    </row>
    <row r="274" spans="1:10" ht="12.75" customHeight="1">
      <c r="A274" s="346"/>
      <c r="B274" s="347"/>
      <c r="C274" s="347"/>
      <c r="D274" s="347"/>
      <c r="E274" s="347"/>
      <c r="F274" s="347"/>
      <c r="G274" s="347"/>
      <c r="H274" s="347"/>
      <c r="I274" s="347"/>
      <c r="J274" s="348"/>
    </row>
    <row r="275" spans="1:10" ht="12.75" customHeight="1">
      <c r="A275" s="346"/>
      <c r="B275" s="347"/>
      <c r="C275" s="347"/>
      <c r="D275" s="347"/>
      <c r="E275" s="347"/>
      <c r="F275" s="347"/>
      <c r="G275" s="347"/>
      <c r="H275" s="347"/>
      <c r="I275" s="347"/>
      <c r="J275" s="348"/>
    </row>
    <row r="276" spans="1:10" ht="12.75" customHeight="1">
      <c r="A276" s="346"/>
      <c r="B276" s="347"/>
      <c r="C276" s="347"/>
      <c r="D276" s="347"/>
      <c r="E276" s="347"/>
      <c r="F276" s="347"/>
      <c r="G276" s="347"/>
      <c r="H276" s="347"/>
      <c r="I276" s="347"/>
      <c r="J276" s="348"/>
    </row>
    <row r="277" spans="1:10" ht="12.75" customHeight="1">
      <c r="A277" s="346"/>
      <c r="B277" s="347"/>
      <c r="C277" s="347"/>
      <c r="D277" s="347"/>
      <c r="E277" s="347"/>
      <c r="F277" s="347"/>
      <c r="G277" s="347"/>
      <c r="H277" s="347"/>
      <c r="I277" s="347"/>
      <c r="J277" s="348"/>
    </row>
    <row r="278" spans="1:10" ht="12.75" customHeight="1">
      <c r="A278" s="346"/>
      <c r="B278" s="347"/>
      <c r="C278" s="347"/>
      <c r="D278" s="347"/>
      <c r="E278" s="347"/>
      <c r="F278" s="347"/>
      <c r="G278" s="347"/>
      <c r="H278" s="347"/>
      <c r="I278" s="347"/>
      <c r="J278" s="348"/>
    </row>
    <row r="279" spans="1:10" ht="12.75" customHeight="1">
      <c r="A279" s="346"/>
      <c r="B279" s="347"/>
      <c r="C279" s="347"/>
      <c r="D279" s="347"/>
      <c r="E279" s="347"/>
      <c r="F279" s="347"/>
      <c r="G279" s="347"/>
      <c r="H279" s="347"/>
      <c r="I279" s="347"/>
      <c r="J279" s="348"/>
    </row>
    <row r="280" spans="1:10" ht="12.75" customHeight="1">
      <c r="A280" s="346"/>
      <c r="B280" s="347"/>
      <c r="C280" s="347"/>
      <c r="D280" s="347"/>
      <c r="E280" s="347"/>
      <c r="F280" s="347"/>
      <c r="G280" s="347"/>
      <c r="H280" s="347"/>
      <c r="I280" s="347"/>
      <c r="J280" s="348"/>
    </row>
    <row r="281" spans="1:10" ht="12.75" customHeight="1">
      <c r="A281" s="346"/>
      <c r="B281" s="347"/>
      <c r="C281" s="347"/>
      <c r="D281" s="347"/>
      <c r="E281" s="347"/>
      <c r="F281" s="347"/>
      <c r="G281" s="347"/>
      <c r="H281" s="347"/>
      <c r="I281" s="347"/>
      <c r="J281" s="348"/>
    </row>
    <row r="282" spans="1:10" ht="12.75" customHeight="1">
      <c r="A282" s="346"/>
      <c r="B282" s="347"/>
      <c r="C282" s="347"/>
      <c r="D282" s="347"/>
      <c r="E282" s="347"/>
      <c r="F282" s="347"/>
      <c r="G282" s="347"/>
      <c r="H282" s="347"/>
      <c r="I282" s="347"/>
      <c r="J282" s="348"/>
    </row>
    <row r="283" spans="1:10" ht="12.75" customHeight="1">
      <c r="A283" s="346"/>
      <c r="B283" s="347"/>
      <c r="C283" s="347"/>
      <c r="D283" s="347"/>
      <c r="E283" s="347"/>
      <c r="F283" s="347"/>
      <c r="G283" s="347"/>
      <c r="H283" s="347"/>
      <c r="I283" s="347"/>
      <c r="J283" s="348"/>
    </row>
    <row r="284" spans="1:10" ht="12.75" customHeight="1">
      <c r="A284" s="346"/>
      <c r="B284" s="347"/>
      <c r="C284" s="347"/>
      <c r="D284" s="347"/>
      <c r="E284" s="347"/>
      <c r="F284" s="347"/>
      <c r="G284" s="347"/>
      <c r="H284" s="347"/>
      <c r="I284" s="347"/>
      <c r="J284" s="348"/>
    </row>
    <row r="285" spans="1:10" ht="12.75" customHeight="1">
      <c r="A285" s="349"/>
      <c r="B285" s="350"/>
      <c r="C285" s="350"/>
      <c r="D285" s="350"/>
      <c r="E285" s="350"/>
      <c r="F285" s="350"/>
      <c r="G285" s="350"/>
      <c r="H285" s="350"/>
      <c r="I285" s="350"/>
      <c r="J285" s="351"/>
    </row>
    <row r="286" spans="1:10" ht="12.75" customHeight="1"/>
    <row r="287" spans="1:10" ht="12.75" customHeight="1"/>
    <row r="288" spans="1:10" ht="12.75" customHeight="1">
      <c r="A288" s="286" t="s">
        <v>69</v>
      </c>
      <c r="B288" s="287"/>
      <c r="C288" s="287"/>
      <c r="D288" s="287"/>
      <c r="E288" s="287"/>
      <c r="F288" s="287"/>
      <c r="G288" s="287"/>
      <c r="H288" s="288" t="str">
        <f>'[1]CONTACT INFORMATION'!$A$24</f>
        <v>San Francisco</v>
      </c>
      <c r="I288" s="287"/>
      <c r="J288" s="289"/>
    </row>
    <row r="289" spans="1:10" ht="7.5" customHeight="1">
      <c r="A289" s="154"/>
      <c r="B289" s="154"/>
      <c r="C289" s="154"/>
      <c r="D289" s="154"/>
      <c r="E289" s="154"/>
      <c r="F289" s="154"/>
      <c r="G289" s="154"/>
      <c r="H289" s="154"/>
      <c r="I289" s="154"/>
      <c r="J289" s="154"/>
    </row>
    <row r="290" spans="1:10" ht="12.75" customHeight="1">
      <c r="A290" s="310" t="s">
        <v>169</v>
      </c>
      <c r="B290" s="287"/>
      <c r="C290" s="287"/>
      <c r="D290" s="287"/>
      <c r="E290" s="287"/>
      <c r="F290" s="287"/>
      <c r="G290" s="287"/>
      <c r="H290" s="287"/>
      <c r="I290" s="287"/>
      <c r="J290" s="289"/>
    </row>
    <row r="291" spans="1:10" ht="12.75" customHeight="1">
      <c r="A291" s="311" t="s">
        <v>144</v>
      </c>
      <c r="B291" s="312"/>
      <c r="C291" s="312"/>
      <c r="D291" s="313"/>
      <c r="E291" s="352" t="s">
        <v>933</v>
      </c>
      <c r="F291" s="312"/>
      <c r="G291" s="312"/>
      <c r="H291" s="312"/>
      <c r="I291" s="312"/>
      <c r="J291" s="313"/>
    </row>
    <row r="292" spans="1:10" ht="12.75" customHeight="1">
      <c r="A292" s="320" t="s">
        <v>171</v>
      </c>
      <c r="B292" s="301"/>
      <c r="C292" s="301"/>
      <c r="D292" s="303"/>
      <c r="E292" s="353"/>
      <c r="F292" s="301"/>
      <c r="G292" s="301"/>
      <c r="H292" s="301"/>
      <c r="I292" s="301"/>
      <c r="J292" s="303"/>
    </row>
    <row r="293" spans="1:10" ht="12.75" customHeight="1">
      <c r="A293" s="296" t="s">
        <v>930</v>
      </c>
      <c r="B293" s="287"/>
      <c r="C293" s="287"/>
      <c r="D293" s="289"/>
      <c r="E293" s="321" t="s">
        <v>104</v>
      </c>
      <c r="F293" s="287"/>
      <c r="G293" s="287"/>
      <c r="H293" s="287"/>
      <c r="I293" s="287"/>
      <c r="J293" s="289"/>
    </row>
    <row r="294" spans="1:10" ht="27" customHeight="1">
      <c r="A294" s="153"/>
      <c r="B294" s="152"/>
      <c r="C294" s="152"/>
      <c r="D294" s="152"/>
      <c r="E294" s="300" t="s">
        <v>147</v>
      </c>
      <c r="F294" s="301"/>
      <c r="G294" s="300" t="s">
        <v>148</v>
      </c>
      <c r="H294" s="301"/>
      <c r="I294" s="302" t="s">
        <v>149</v>
      </c>
      <c r="J294" s="303"/>
    </row>
    <row r="295" spans="1:10" ht="12.75" customHeight="1">
      <c r="A295" s="297" t="s">
        <v>150</v>
      </c>
      <c r="B295" s="287"/>
      <c r="C295" s="287"/>
      <c r="D295" s="289"/>
      <c r="E295" s="298">
        <v>71594</v>
      </c>
      <c r="F295" s="289"/>
      <c r="G295" s="298"/>
      <c r="H295" s="289"/>
      <c r="I295" s="299"/>
      <c r="J295" s="289"/>
    </row>
    <row r="296" spans="1:10" ht="12.75" customHeight="1">
      <c r="A296" s="305" t="s">
        <v>151</v>
      </c>
      <c r="B296" s="287"/>
      <c r="C296" s="287"/>
      <c r="D296" s="289"/>
      <c r="E296" s="306"/>
      <c r="F296" s="289"/>
      <c r="G296" s="322"/>
      <c r="H296" s="289"/>
      <c r="I296" s="323"/>
      <c r="J296" s="289"/>
    </row>
    <row r="297" spans="1:10" ht="12.75" customHeight="1">
      <c r="A297" s="297" t="s">
        <v>152</v>
      </c>
      <c r="B297" s="287"/>
      <c r="C297" s="287"/>
      <c r="D297" s="289"/>
      <c r="E297" s="298"/>
      <c r="F297" s="289"/>
      <c r="G297" s="298"/>
      <c r="H297" s="289"/>
      <c r="I297" s="299"/>
      <c r="J297" s="289"/>
    </row>
    <row r="298" spans="1:10" ht="12.75" customHeight="1">
      <c r="A298" s="305" t="s">
        <v>153</v>
      </c>
      <c r="B298" s="287"/>
      <c r="C298" s="287"/>
      <c r="D298" s="289"/>
      <c r="E298" s="306">
        <v>732805</v>
      </c>
      <c r="F298" s="289"/>
      <c r="G298" s="322"/>
      <c r="H298" s="289"/>
      <c r="I298" s="323"/>
      <c r="J298" s="289"/>
    </row>
    <row r="299" spans="1:10" ht="12.75" customHeight="1">
      <c r="A299" s="297" t="s">
        <v>154</v>
      </c>
      <c r="B299" s="287"/>
      <c r="C299" s="287"/>
      <c r="D299" s="289"/>
      <c r="E299" s="298"/>
      <c r="F299" s="289"/>
      <c r="G299" s="298"/>
      <c r="H299" s="289"/>
      <c r="I299" s="299"/>
      <c r="J299" s="289"/>
    </row>
    <row r="300" spans="1:10" ht="12.75" customHeight="1">
      <c r="A300" s="305" t="s">
        <v>155</v>
      </c>
      <c r="B300" s="287"/>
      <c r="C300" s="287"/>
      <c r="D300" s="289"/>
      <c r="E300" s="306"/>
      <c r="F300" s="289"/>
      <c r="G300" s="322"/>
      <c r="H300" s="289"/>
      <c r="I300" s="323"/>
      <c r="J300" s="289"/>
    </row>
    <row r="301" spans="1:10" ht="12.75" customHeight="1">
      <c r="A301" s="297" t="s">
        <v>156</v>
      </c>
      <c r="B301" s="287"/>
      <c r="C301" s="287"/>
      <c r="D301" s="289"/>
      <c r="E301" s="325"/>
      <c r="F301" s="289"/>
      <c r="G301" s="325"/>
      <c r="H301" s="289"/>
      <c r="I301" s="326"/>
      <c r="J301" s="289"/>
    </row>
    <row r="302" spans="1:10" ht="12.75" customHeight="1">
      <c r="A302" s="324"/>
      <c r="B302" s="287"/>
      <c r="C302" s="287"/>
      <c r="D302" s="289"/>
      <c r="E302" s="306"/>
      <c r="F302" s="289"/>
      <c r="G302" s="322"/>
      <c r="H302" s="289"/>
      <c r="I302" s="322"/>
      <c r="J302" s="289"/>
    </row>
    <row r="303" spans="1:10" ht="12.75" customHeight="1">
      <c r="A303" s="324"/>
      <c r="B303" s="287"/>
      <c r="C303" s="287"/>
      <c r="D303" s="289"/>
      <c r="E303" s="306"/>
      <c r="F303" s="289"/>
      <c r="G303" s="322"/>
      <c r="H303" s="289"/>
      <c r="I303" s="322"/>
      <c r="J303" s="289"/>
    </row>
    <row r="304" spans="1:10" ht="12.75" customHeight="1">
      <c r="A304" s="324"/>
      <c r="B304" s="287"/>
      <c r="C304" s="287"/>
      <c r="D304" s="289"/>
      <c r="E304" s="306"/>
      <c r="F304" s="289"/>
      <c r="G304" s="322"/>
      <c r="H304" s="289"/>
      <c r="I304" s="322"/>
      <c r="J304" s="289"/>
    </row>
    <row r="305" spans="1:10" ht="12.75" customHeight="1">
      <c r="A305" s="337" t="s">
        <v>157</v>
      </c>
      <c r="B305" s="287"/>
      <c r="C305" s="287"/>
      <c r="D305" s="289"/>
      <c r="E305" s="338">
        <f>SUM(E295:E304)</f>
        <v>804399</v>
      </c>
      <c r="F305" s="289"/>
      <c r="G305" s="338">
        <f>SUM(G295:G304)</f>
        <v>0</v>
      </c>
      <c r="H305" s="289"/>
      <c r="I305" s="338">
        <f>SUM(I295:I304)</f>
        <v>0</v>
      </c>
      <c r="J305" s="289"/>
    </row>
    <row r="306" spans="1:10" ht="12.75" customHeight="1">
      <c r="A306" s="339" t="s">
        <v>158</v>
      </c>
      <c r="B306" s="312"/>
      <c r="C306" s="312"/>
      <c r="D306" s="312"/>
      <c r="E306" s="312"/>
      <c r="F306" s="312"/>
      <c r="G306" s="312"/>
      <c r="H306" s="312"/>
      <c r="I306" s="312"/>
      <c r="J306" s="313"/>
    </row>
    <row r="307" spans="1:10" ht="12.75" customHeight="1">
      <c r="A307" s="340" t="s">
        <v>159</v>
      </c>
      <c r="B307" s="341"/>
      <c r="C307" s="341"/>
      <c r="D307" s="341"/>
      <c r="E307" s="341"/>
      <c r="F307" s="341"/>
      <c r="G307" s="341"/>
      <c r="H307" s="341"/>
      <c r="I307" s="341"/>
      <c r="J307" s="342"/>
    </row>
    <row r="308" spans="1:10" ht="12.75" customHeight="1">
      <c r="A308" s="340" t="s">
        <v>160</v>
      </c>
      <c r="B308" s="341"/>
      <c r="C308" s="341"/>
      <c r="D308" s="341"/>
      <c r="E308" s="341"/>
      <c r="F308" s="341"/>
      <c r="G308" s="341"/>
      <c r="H308" s="341"/>
      <c r="I308" s="341"/>
      <c r="J308" s="342"/>
    </row>
    <row r="309" spans="1:10" ht="12.75" customHeight="1">
      <c r="A309" s="336" t="s">
        <v>161</v>
      </c>
      <c r="B309" s="301"/>
      <c r="C309" s="301"/>
      <c r="D309" s="301"/>
      <c r="E309" s="301"/>
      <c r="F309" s="301"/>
      <c r="G309" s="301"/>
      <c r="H309" s="301"/>
      <c r="I309" s="301"/>
      <c r="J309" s="303"/>
    </row>
    <row r="310" spans="1:10" ht="12.75" customHeight="1">
      <c r="A310" s="343" t="s">
        <v>952</v>
      </c>
      <c r="B310" s="344"/>
      <c r="C310" s="344"/>
      <c r="D310" s="344"/>
      <c r="E310" s="344"/>
      <c r="F310" s="344"/>
      <c r="G310" s="344"/>
      <c r="H310" s="344"/>
      <c r="I310" s="344"/>
      <c r="J310" s="345"/>
    </row>
    <row r="311" spans="1:10" ht="12.75" customHeight="1">
      <c r="A311" s="346"/>
      <c r="B311" s="347"/>
      <c r="C311" s="347"/>
      <c r="D311" s="347"/>
      <c r="E311" s="347"/>
      <c r="F311" s="347"/>
      <c r="G311" s="347"/>
      <c r="H311" s="347"/>
      <c r="I311" s="347"/>
      <c r="J311" s="348"/>
    </row>
    <row r="312" spans="1:10" ht="12.75" customHeight="1">
      <c r="A312" s="346"/>
      <c r="B312" s="347"/>
      <c r="C312" s="347"/>
      <c r="D312" s="347"/>
      <c r="E312" s="347"/>
      <c r="F312" s="347"/>
      <c r="G312" s="347"/>
      <c r="H312" s="347"/>
      <c r="I312" s="347"/>
      <c r="J312" s="348"/>
    </row>
    <row r="313" spans="1:10" ht="12.75" customHeight="1">
      <c r="A313" s="346"/>
      <c r="B313" s="347"/>
      <c r="C313" s="347"/>
      <c r="D313" s="347"/>
      <c r="E313" s="347"/>
      <c r="F313" s="347"/>
      <c r="G313" s="347"/>
      <c r="H313" s="347"/>
      <c r="I313" s="347"/>
      <c r="J313" s="348"/>
    </row>
    <row r="314" spans="1:10" ht="12.75" customHeight="1">
      <c r="A314" s="346"/>
      <c r="B314" s="347"/>
      <c r="C314" s="347"/>
      <c r="D314" s="347"/>
      <c r="E314" s="347"/>
      <c r="F314" s="347"/>
      <c r="G314" s="347"/>
      <c r="H314" s="347"/>
      <c r="I314" s="347"/>
      <c r="J314" s="348"/>
    </row>
    <row r="315" spans="1:10" ht="12.75" customHeight="1">
      <c r="A315" s="346"/>
      <c r="B315" s="347"/>
      <c r="C315" s="347"/>
      <c r="D315" s="347"/>
      <c r="E315" s="347"/>
      <c r="F315" s="347"/>
      <c r="G315" s="347"/>
      <c r="H315" s="347"/>
      <c r="I315" s="347"/>
      <c r="J315" s="348"/>
    </row>
    <row r="316" spans="1:10" ht="12.75" customHeight="1">
      <c r="A316" s="346"/>
      <c r="B316" s="347"/>
      <c r="C316" s="347"/>
      <c r="D316" s="347"/>
      <c r="E316" s="347"/>
      <c r="F316" s="347"/>
      <c r="G316" s="347"/>
      <c r="H316" s="347"/>
      <c r="I316" s="347"/>
      <c r="J316" s="348"/>
    </row>
    <row r="317" spans="1:10" ht="12.75" customHeight="1">
      <c r="A317" s="346"/>
      <c r="B317" s="347"/>
      <c r="C317" s="347"/>
      <c r="D317" s="347"/>
      <c r="E317" s="347"/>
      <c r="F317" s="347"/>
      <c r="G317" s="347"/>
      <c r="H317" s="347"/>
      <c r="I317" s="347"/>
      <c r="J317" s="348"/>
    </row>
    <row r="318" spans="1:10" ht="12.75" customHeight="1">
      <c r="A318" s="346"/>
      <c r="B318" s="347"/>
      <c r="C318" s="347"/>
      <c r="D318" s="347"/>
      <c r="E318" s="347"/>
      <c r="F318" s="347"/>
      <c r="G318" s="347"/>
      <c r="H318" s="347"/>
      <c r="I318" s="347"/>
      <c r="J318" s="348"/>
    </row>
    <row r="319" spans="1:10" ht="12.75" customHeight="1">
      <c r="A319" s="346"/>
      <c r="B319" s="347"/>
      <c r="C319" s="347"/>
      <c r="D319" s="347"/>
      <c r="E319" s="347"/>
      <c r="F319" s="347"/>
      <c r="G319" s="347"/>
      <c r="H319" s="347"/>
      <c r="I319" s="347"/>
      <c r="J319" s="348"/>
    </row>
    <row r="320" spans="1:10" ht="12.75" customHeight="1">
      <c r="A320" s="346"/>
      <c r="B320" s="347"/>
      <c r="C320" s="347"/>
      <c r="D320" s="347"/>
      <c r="E320" s="347"/>
      <c r="F320" s="347"/>
      <c r="G320" s="347"/>
      <c r="H320" s="347"/>
      <c r="I320" s="347"/>
      <c r="J320" s="348"/>
    </row>
    <row r="321" spans="1:10" ht="12.75" customHeight="1">
      <c r="A321" s="346"/>
      <c r="B321" s="347"/>
      <c r="C321" s="347"/>
      <c r="D321" s="347"/>
      <c r="E321" s="347"/>
      <c r="F321" s="347"/>
      <c r="G321" s="347"/>
      <c r="H321" s="347"/>
      <c r="I321" s="347"/>
      <c r="J321" s="348"/>
    </row>
    <row r="322" spans="1:10" ht="12.75" customHeight="1">
      <c r="A322" s="346"/>
      <c r="B322" s="347"/>
      <c r="C322" s="347"/>
      <c r="D322" s="347"/>
      <c r="E322" s="347"/>
      <c r="F322" s="347"/>
      <c r="G322" s="347"/>
      <c r="H322" s="347"/>
      <c r="I322" s="347"/>
      <c r="J322" s="348"/>
    </row>
    <row r="323" spans="1:10" ht="12.75" customHeight="1">
      <c r="A323" s="346"/>
      <c r="B323" s="347"/>
      <c r="C323" s="347"/>
      <c r="D323" s="347"/>
      <c r="E323" s="347"/>
      <c r="F323" s="347"/>
      <c r="G323" s="347"/>
      <c r="H323" s="347"/>
      <c r="I323" s="347"/>
      <c r="J323" s="348"/>
    </row>
    <row r="324" spans="1:10" ht="12.75" customHeight="1">
      <c r="A324" s="346"/>
      <c r="B324" s="347"/>
      <c r="C324" s="347"/>
      <c r="D324" s="347"/>
      <c r="E324" s="347"/>
      <c r="F324" s="347"/>
      <c r="G324" s="347"/>
      <c r="H324" s="347"/>
      <c r="I324" s="347"/>
      <c r="J324" s="348"/>
    </row>
    <row r="325" spans="1:10" ht="12.75" customHeight="1">
      <c r="A325" s="346"/>
      <c r="B325" s="347"/>
      <c r="C325" s="347"/>
      <c r="D325" s="347"/>
      <c r="E325" s="347"/>
      <c r="F325" s="347"/>
      <c r="G325" s="347"/>
      <c r="H325" s="347"/>
      <c r="I325" s="347"/>
      <c r="J325" s="348"/>
    </row>
    <row r="326" spans="1:10" ht="12.75" customHeight="1">
      <c r="A326" s="346"/>
      <c r="B326" s="347"/>
      <c r="C326" s="347"/>
      <c r="D326" s="347"/>
      <c r="E326" s="347"/>
      <c r="F326" s="347"/>
      <c r="G326" s="347"/>
      <c r="H326" s="347"/>
      <c r="I326" s="347"/>
      <c r="J326" s="348"/>
    </row>
    <row r="327" spans="1:10" ht="12.75" customHeight="1">
      <c r="A327" s="346"/>
      <c r="B327" s="347"/>
      <c r="C327" s="347"/>
      <c r="D327" s="347"/>
      <c r="E327" s="347"/>
      <c r="F327" s="347"/>
      <c r="G327" s="347"/>
      <c r="H327" s="347"/>
      <c r="I327" s="347"/>
      <c r="J327" s="348"/>
    </row>
    <row r="328" spans="1:10" ht="12.75" customHeight="1">
      <c r="A328" s="346"/>
      <c r="B328" s="347"/>
      <c r="C328" s="347"/>
      <c r="D328" s="347"/>
      <c r="E328" s="347"/>
      <c r="F328" s="347"/>
      <c r="G328" s="347"/>
      <c r="H328" s="347"/>
      <c r="I328" s="347"/>
      <c r="J328" s="348"/>
    </row>
    <row r="329" spans="1:10" ht="12.75" customHeight="1">
      <c r="A329" s="346"/>
      <c r="B329" s="347"/>
      <c r="C329" s="347"/>
      <c r="D329" s="347"/>
      <c r="E329" s="347"/>
      <c r="F329" s="347"/>
      <c r="G329" s="347"/>
      <c r="H329" s="347"/>
      <c r="I329" s="347"/>
      <c r="J329" s="348"/>
    </row>
    <row r="330" spans="1:10" ht="12.75" customHeight="1">
      <c r="A330" s="346"/>
      <c r="B330" s="347"/>
      <c r="C330" s="347"/>
      <c r="D330" s="347"/>
      <c r="E330" s="347"/>
      <c r="F330" s="347"/>
      <c r="G330" s="347"/>
      <c r="H330" s="347"/>
      <c r="I330" s="347"/>
      <c r="J330" s="348"/>
    </row>
    <row r="331" spans="1:10" ht="12.75" customHeight="1">
      <c r="A331" s="346"/>
      <c r="B331" s="347"/>
      <c r="C331" s="347"/>
      <c r="D331" s="347"/>
      <c r="E331" s="347"/>
      <c r="F331" s="347"/>
      <c r="G331" s="347"/>
      <c r="H331" s="347"/>
      <c r="I331" s="347"/>
      <c r="J331" s="348"/>
    </row>
    <row r="332" spans="1:10" ht="12.75" customHeight="1">
      <c r="A332" s="346"/>
      <c r="B332" s="347"/>
      <c r="C332" s="347"/>
      <c r="D332" s="347"/>
      <c r="E332" s="347"/>
      <c r="F332" s="347"/>
      <c r="G332" s="347"/>
      <c r="H332" s="347"/>
      <c r="I332" s="347"/>
      <c r="J332" s="348"/>
    </row>
    <row r="333" spans="1:10" ht="12.75" customHeight="1">
      <c r="A333" s="346"/>
      <c r="B333" s="347"/>
      <c r="C333" s="347"/>
      <c r="D333" s="347"/>
      <c r="E333" s="347"/>
      <c r="F333" s="347"/>
      <c r="G333" s="347"/>
      <c r="H333" s="347"/>
      <c r="I333" s="347"/>
      <c r="J333" s="348"/>
    </row>
    <row r="334" spans="1:10" ht="12.75" customHeight="1">
      <c r="A334" s="346"/>
      <c r="B334" s="347"/>
      <c r="C334" s="347"/>
      <c r="D334" s="347"/>
      <c r="E334" s="347"/>
      <c r="F334" s="347"/>
      <c r="G334" s="347"/>
      <c r="H334" s="347"/>
      <c r="I334" s="347"/>
      <c r="J334" s="348"/>
    </row>
    <row r="335" spans="1:10" ht="12.75" customHeight="1">
      <c r="A335" s="346"/>
      <c r="B335" s="347"/>
      <c r="C335" s="347"/>
      <c r="D335" s="347"/>
      <c r="E335" s="347"/>
      <c r="F335" s="347"/>
      <c r="G335" s="347"/>
      <c r="H335" s="347"/>
      <c r="I335" s="347"/>
      <c r="J335" s="348"/>
    </row>
    <row r="336" spans="1:10" ht="12.75" customHeight="1">
      <c r="A336" s="346"/>
      <c r="B336" s="347"/>
      <c r="C336" s="347"/>
      <c r="D336" s="347"/>
      <c r="E336" s="347"/>
      <c r="F336" s="347"/>
      <c r="G336" s="347"/>
      <c r="H336" s="347"/>
      <c r="I336" s="347"/>
      <c r="J336" s="348"/>
    </row>
    <row r="337" spans="1:10" ht="12.75" customHeight="1">
      <c r="A337" s="346"/>
      <c r="B337" s="347"/>
      <c r="C337" s="347"/>
      <c r="D337" s="347"/>
      <c r="E337" s="347"/>
      <c r="F337" s="347"/>
      <c r="G337" s="347"/>
      <c r="H337" s="347"/>
      <c r="I337" s="347"/>
      <c r="J337" s="348"/>
    </row>
    <row r="338" spans="1:10" ht="12.75" customHeight="1">
      <c r="A338" s="346"/>
      <c r="B338" s="347"/>
      <c r="C338" s="347"/>
      <c r="D338" s="347"/>
      <c r="E338" s="347"/>
      <c r="F338" s="347"/>
      <c r="G338" s="347"/>
      <c r="H338" s="347"/>
      <c r="I338" s="347"/>
      <c r="J338" s="348"/>
    </row>
    <row r="339" spans="1:10" ht="12.75" customHeight="1">
      <c r="A339" s="346"/>
      <c r="B339" s="347"/>
      <c r="C339" s="347"/>
      <c r="D339" s="347"/>
      <c r="E339" s="347"/>
      <c r="F339" s="347"/>
      <c r="G339" s="347"/>
      <c r="H339" s="347"/>
      <c r="I339" s="347"/>
      <c r="J339" s="348"/>
    </row>
    <row r="340" spans="1:10" ht="12.75" customHeight="1">
      <c r="A340" s="346"/>
      <c r="B340" s="347"/>
      <c r="C340" s="347"/>
      <c r="D340" s="347"/>
      <c r="E340" s="347"/>
      <c r="F340" s="347"/>
      <c r="G340" s="347"/>
      <c r="H340" s="347"/>
      <c r="I340" s="347"/>
      <c r="J340" s="348"/>
    </row>
    <row r="341" spans="1:10" ht="12.75" customHeight="1">
      <c r="A341" s="346"/>
      <c r="B341" s="347"/>
      <c r="C341" s="347"/>
      <c r="D341" s="347"/>
      <c r="E341" s="347"/>
      <c r="F341" s="347"/>
      <c r="G341" s="347"/>
      <c r="H341" s="347"/>
      <c r="I341" s="347"/>
      <c r="J341" s="348"/>
    </row>
    <row r="342" spans="1:10" ht="12.75" customHeight="1">
      <c r="A342" s="346"/>
      <c r="B342" s="347"/>
      <c r="C342" s="347"/>
      <c r="D342" s="347"/>
      <c r="E342" s="347"/>
      <c r="F342" s="347"/>
      <c r="G342" s="347"/>
      <c r="H342" s="347"/>
      <c r="I342" s="347"/>
      <c r="J342" s="348"/>
    </row>
    <row r="343" spans="1:10" ht="12.75" customHeight="1">
      <c r="A343" s="346"/>
      <c r="B343" s="347"/>
      <c r="C343" s="347"/>
      <c r="D343" s="347"/>
      <c r="E343" s="347"/>
      <c r="F343" s="347"/>
      <c r="G343" s="347"/>
      <c r="H343" s="347"/>
      <c r="I343" s="347"/>
      <c r="J343" s="348"/>
    </row>
    <row r="344" spans="1:10" ht="12.75" customHeight="1">
      <c r="A344" s="349"/>
      <c r="B344" s="350"/>
      <c r="C344" s="350"/>
      <c r="D344" s="350"/>
      <c r="E344" s="350"/>
      <c r="F344" s="350"/>
      <c r="G344" s="350"/>
      <c r="H344" s="350"/>
      <c r="I344" s="350"/>
      <c r="J344" s="351"/>
    </row>
    <row r="345" spans="1:10" ht="12.75" customHeight="1"/>
    <row r="346" spans="1:10" ht="12.75" customHeight="1"/>
    <row r="347" spans="1:10" ht="12.75" customHeight="1">
      <c r="A347" s="286" t="s">
        <v>69</v>
      </c>
      <c r="B347" s="287"/>
      <c r="C347" s="287"/>
      <c r="D347" s="287"/>
      <c r="E347" s="287"/>
      <c r="F347" s="287"/>
      <c r="G347" s="287"/>
      <c r="H347" s="288" t="str">
        <f>'[1]CONTACT INFORMATION'!$A$24</f>
        <v>San Francisco</v>
      </c>
      <c r="I347" s="287"/>
      <c r="J347" s="289"/>
    </row>
    <row r="348" spans="1:10" ht="7.5" customHeight="1">
      <c r="A348" s="154"/>
      <c r="B348" s="154"/>
      <c r="C348" s="154"/>
      <c r="D348" s="154"/>
      <c r="E348" s="154"/>
      <c r="F348" s="154"/>
      <c r="G348" s="154"/>
      <c r="H348" s="154"/>
      <c r="I348" s="154"/>
      <c r="J348" s="154"/>
    </row>
    <row r="349" spans="1:10" ht="12.75" customHeight="1">
      <c r="A349" s="310" t="s">
        <v>175</v>
      </c>
      <c r="B349" s="287"/>
      <c r="C349" s="287"/>
      <c r="D349" s="287"/>
      <c r="E349" s="287"/>
      <c r="F349" s="287"/>
      <c r="G349" s="287"/>
      <c r="H349" s="287"/>
      <c r="I349" s="287"/>
      <c r="J349" s="289"/>
    </row>
    <row r="350" spans="1:10" ht="12.75" customHeight="1">
      <c r="A350" s="311" t="s">
        <v>144</v>
      </c>
      <c r="B350" s="312"/>
      <c r="C350" s="312"/>
      <c r="D350" s="313"/>
      <c r="E350" s="354" t="s">
        <v>932</v>
      </c>
      <c r="F350" s="312"/>
      <c r="G350" s="312"/>
      <c r="H350" s="312"/>
      <c r="I350" s="312"/>
      <c r="J350" s="313"/>
    </row>
    <row r="351" spans="1:10" ht="12.75" customHeight="1">
      <c r="A351" s="320" t="s">
        <v>171</v>
      </c>
      <c r="B351" s="301"/>
      <c r="C351" s="301"/>
      <c r="D351" s="303"/>
      <c r="E351" s="353"/>
      <c r="F351" s="301"/>
      <c r="G351" s="301"/>
      <c r="H351" s="301"/>
      <c r="I351" s="301"/>
      <c r="J351" s="303"/>
    </row>
    <row r="352" spans="1:10" ht="12.75" customHeight="1">
      <c r="A352" s="296" t="s">
        <v>930</v>
      </c>
      <c r="B352" s="287"/>
      <c r="C352" s="287"/>
      <c r="D352" s="289"/>
      <c r="E352" s="321" t="s">
        <v>94</v>
      </c>
      <c r="F352" s="287"/>
      <c r="G352" s="287"/>
      <c r="H352" s="287"/>
      <c r="I352" s="287"/>
      <c r="J352" s="289"/>
    </row>
    <row r="353" spans="1:10" ht="27" customHeight="1">
      <c r="A353" s="153"/>
      <c r="B353" s="152"/>
      <c r="C353" s="152"/>
      <c r="D353" s="152"/>
      <c r="E353" s="300" t="s">
        <v>147</v>
      </c>
      <c r="F353" s="301"/>
      <c r="G353" s="300" t="s">
        <v>148</v>
      </c>
      <c r="H353" s="301"/>
      <c r="I353" s="302" t="s">
        <v>149</v>
      </c>
      <c r="J353" s="303"/>
    </row>
    <row r="354" spans="1:10" ht="12.75" customHeight="1">
      <c r="A354" s="297" t="s">
        <v>150</v>
      </c>
      <c r="B354" s="287"/>
      <c r="C354" s="287"/>
      <c r="D354" s="289"/>
      <c r="E354" s="298">
        <v>42162</v>
      </c>
      <c r="F354" s="289"/>
      <c r="G354" s="298"/>
      <c r="H354" s="289"/>
      <c r="I354" s="299"/>
      <c r="J354" s="289"/>
    </row>
    <row r="355" spans="1:10" ht="12.75" customHeight="1">
      <c r="A355" s="305" t="s">
        <v>151</v>
      </c>
      <c r="B355" s="287"/>
      <c r="C355" s="287"/>
      <c r="D355" s="289"/>
      <c r="E355" s="306"/>
      <c r="F355" s="289"/>
      <c r="G355" s="322"/>
      <c r="H355" s="289"/>
      <c r="I355" s="323"/>
      <c r="J355" s="289"/>
    </row>
    <row r="356" spans="1:10" ht="12.75" customHeight="1">
      <c r="A356" s="297" t="s">
        <v>152</v>
      </c>
      <c r="B356" s="287"/>
      <c r="C356" s="287"/>
      <c r="D356" s="289"/>
      <c r="E356" s="298"/>
      <c r="F356" s="289"/>
      <c r="G356" s="298"/>
      <c r="H356" s="289"/>
      <c r="I356" s="299"/>
      <c r="J356" s="289"/>
    </row>
    <row r="357" spans="1:10" ht="12.75" customHeight="1">
      <c r="A357" s="305" t="s">
        <v>153</v>
      </c>
      <c r="B357" s="287"/>
      <c r="C357" s="287"/>
      <c r="D357" s="289"/>
      <c r="E357" s="306">
        <v>431555</v>
      </c>
      <c r="F357" s="289"/>
      <c r="G357" s="322"/>
      <c r="H357" s="289"/>
      <c r="I357" s="323"/>
      <c r="J357" s="289"/>
    </row>
    <row r="358" spans="1:10" ht="12.75" customHeight="1">
      <c r="A358" s="297" t="s">
        <v>154</v>
      </c>
      <c r="B358" s="287"/>
      <c r="C358" s="287"/>
      <c r="D358" s="289"/>
      <c r="E358" s="298"/>
      <c r="F358" s="289"/>
      <c r="G358" s="298"/>
      <c r="H358" s="289"/>
      <c r="I358" s="299"/>
      <c r="J358" s="289"/>
    </row>
    <row r="359" spans="1:10" ht="12.75" customHeight="1">
      <c r="A359" s="305" t="s">
        <v>155</v>
      </c>
      <c r="B359" s="287"/>
      <c r="C359" s="287"/>
      <c r="D359" s="289"/>
      <c r="E359" s="306"/>
      <c r="F359" s="289"/>
      <c r="G359" s="322"/>
      <c r="H359" s="289"/>
      <c r="I359" s="323"/>
      <c r="J359" s="289"/>
    </row>
    <row r="360" spans="1:10" ht="12.75" customHeight="1">
      <c r="A360" s="297" t="s">
        <v>156</v>
      </c>
      <c r="B360" s="287"/>
      <c r="C360" s="287"/>
      <c r="D360" s="289"/>
      <c r="E360" s="325"/>
      <c r="F360" s="289"/>
      <c r="G360" s="325"/>
      <c r="H360" s="289"/>
      <c r="I360" s="326"/>
      <c r="J360" s="289"/>
    </row>
    <row r="361" spans="1:10" ht="12.75" customHeight="1">
      <c r="A361" s="324"/>
      <c r="B361" s="287"/>
      <c r="C361" s="287"/>
      <c r="D361" s="289"/>
      <c r="E361" s="306"/>
      <c r="F361" s="289"/>
      <c r="G361" s="322"/>
      <c r="H361" s="289"/>
      <c r="I361" s="322"/>
      <c r="J361" s="289"/>
    </row>
    <row r="362" spans="1:10" ht="12.75" customHeight="1">
      <c r="A362" s="324"/>
      <c r="B362" s="287"/>
      <c r="C362" s="287"/>
      <c r="D362" s="289"/>
      <c r="E362" s="306"/>
      <c r="F362" s="289"/>
      <c r="G362" s="322"/>
      <c r="H362" s="289"/>
      <c r="I362" s="322"/>
      <c r="J362" s="289"/>
    </row>
    <row r="363" spans="1:10" ht="12.75" customHeight="1">
      <c r="A363" s="324"/>
      <c r="B363" s="287"/>
      <c r="C363" s="287"/>
      <c r="D363" s="289"/>
      <c r="E363" s="306"/>
      <c r="F363" s="289"/>
      <c r="G363" s="322"/>
      <c r="H363" s="289"/>
      <c r="I363" s="322"/>
      <c r="J363" s="289"/>
    </row>
    <row r="364" spans="1:10" ht="12.75" customHeight="1">
      <c r="A364" s="337" t="s">
        <v>157</v>
      </c>
      <c r="B364" s="287"/>
      <c r="C364" s="287"/>
      <c r="D364" s="289"/>
      <c r="E364" s="338">
        <f>SUM(E354:E363)</f>
        <v>473717</v>
      </c>
      <c r="F364" s="289"/>
      <c r="G364" s="338">
        <f>SUM(G354:G363)</f>
        <v>0</v>
      </c>
      <c r="H364" s="289"/>
      <c r="I364" s="338">
        <f>SUM(I354:I363)</f>
        <v>0</v>
      </c>
      <c r="J364" s="289"/>
    </row>
    <row r="365" spans="1:10" ht="12.75" customHeight="1">
      <c r="A365" s="339" t="s">
        <v>158</v>
      </c>
      <c r="B365" s="312"/>
      <c r="C365" s="312"/>
      <c r="D365" s="312"/>
      <c r="E365" s="312"/>
      <c r="F365" s="312"/>
      <c r="G365" s="312"/>
      <c r="H365" s="312"/>
      <c r="I365" s="312"/>
      <c r="J365" s="313"/>
    </row>
    <row r="366" spans="1:10" ht="12.75" customHeight="1">
      <c r="A366" s="340" t="s">
        <v>159</v>
      </c>
      <c r="B366" s="341"/>
      <c r="C366" s="341"/>
      <c r="D366" s="341"/>
      <c r="E366" s="341"/>
      <c r="F366" s="341"/>
      <c r="G366" s="341"/>
      <c r="H366" s="341"/>
      <c r="I366" s="341"/>
      <c r="J366" s="342"/>
    </row>
    <row r="367" spans="1:10" ht="12.75" customHeight="1">
      <c r="A367" s="340" t="s">
        <v>160</v>
      </c>
      <c r="B367" s="341"/>
      <c r="C367" s="341"/>
      <c r="D367" s="341"/>
      <c r="E367" s="341"/>
      <c r="F367" s="341"/>
      <c r="G367" s="341"/>
      <c r="H367" s="341"/>
      <c r="I367" s="341"/>
      <c r="J367" s="342"/>
    </row>
    <row r="368" spans="1:10" ht="12.75" customHeight="1">
      <c r="A368" s="336" t="s">
        <v>161</v>
      </c>
      <c r="B368" s="301"/>
      <c r="C368" s="301"/>
      <c r="D368" s="301"/>
      <c r="E368" s="301"/>
      <c r="F368" s="301"/>
      <c r="G368" s="301"/>
      <c r="H368" s="301"/>
      <c r="I368" s="301"/>
      <c r="J368" s="303"/>
    </row>
    <row r="369" spans="1:10" ht="12.75" customHeight="1">
      <c r="A369" s="355" t="s">
        <v>953</v>
      </c>
      <c r="B369" s="312"/>
      <c r="C369" s="312"/>
      <c r="D369" s="312"/>
      <c r="E369" s="312"/>
      <c r="F369" s="312"/>
      <c r="G369" s="312"/>
      <c r="H369" s="312"/>
      <c r="I369" s="312"/>
      <c r="J369" s="313"/>
    </row>
    <row r="370" spans="1:10" ht="12.75" customHeight="1">
      <c r="A370" s="356"/>
      <c r="B370" s="291"/>
      <c r="C370" s="291"/>
      <c r="D370" s="291"/>
      <c r="E370" s="291"/>
      <c r="F370" s="291"/>
      <c r="G370" s="291"/>
      <c r="H370" s="291"/>
      <c r="I370" s="291"/>
      <c r="J370" s="342"/>
    </row>
    <row r="371" spans="1:10" ht="12.75" customHeight="1">
      <c r="A371" s="356"/>
      <c r="B371" s="291"/>
      <c r="C371" s="291"/>
      <c r="D371" s="291"/>
      <c r="E371" s="291"/>
      <c r="F371" s="291"/>
      <c r="G371" s="291"/>
      <c r="H371" s="291"/>
      <c r="I371" s="291"/>
      <c r="J371" s="342"/>
    </row>
    <row r="372" spans="1:10" ht="12.75" customHeight="1">
      <c r="A372" s="356"/>
      <c r="B372" s="291"/>
      <c r="C372" s="291"/>
      <c r="D372" s="291"/>
      <c r="E372" s="291"/>
      <c r="F372" s="291"/>
      <c r="G372" s="291"/>
      <c r="H372" s="291"/>
      <c r="I372" s="291"/>
      <c r="J372" s="342"/>
    </row>
    <row r="373" spans="1:10" ht="12.75" customHeight="1">
      <c r="A373" s="356"/>
      <c r="B373" s="291"/>
      <c r="C373" s="291"/>
      <c r="D373" s="291"/>
      <c r="E373" s="291"/>
      <c r="F373" s="291"/>
      <c r="G373" s="291"/>
      <c r="H373" s="291"/>
      <c r="I373" s="291"/>
      <c r="J373" s="342"/>
    </row>
    <row r="374" spans="1:10" ht="12.75" customHeight="1">
      <c r="A374" s="356"/>
      <c r="B374" s="291"/>
      <c r="C374" s="291"/>
      <c r="D374" s="291"/>
      <c r="E374" s="291"/>
      <c r="F374" s="291"/>
      <c r="G374" s="291"/>
      <c r="H374" s="291"/>
      <c r="I374" s="291"/>
      <c r="J374" s="342"/>
    </row>
    <row r="375" spans="1:10" ht="12.75" customHeight="1">
      <c r="A375" s="356"/>
      <c r="B375" s="291"/>
      <c r="C375" s="291"/>
      <c r="D375" s="291"/>
      <c r="E375" s="291"/>
      <c r="F375" s="291"/>
      <c r="G375" s="291"/>
      <c r="H375" s="291"/>
      <c r="I375" s="291"/>
      <c r="J375" s="342"/>
    </row>
    <row r="376" spans="1:10" ht="12.75" customHeight="1">
      <c r="A376" s="356"/>
      <c r="B376" s="291"/>
      <c r="C376" s="291"/>
      <c r="D376" s="291"/>
      <c r="E376" s="291"/>
      <c r="F376" s="291"/>
      <c r="G376" s="291"/>
      <c r="H376" s="291"/>
      <c r="I376" s="291"/>
      <c r="J376" s="342"/>
    </row>
    <row r="377" spans="1:10" ht="12.75" customHeight="1">
      <c r="A377" s="356"/>
      <c r="B377" s="291"/>
      <c r="C377" s="291"/>
      <c r="D377" s="291"/>
      <c r="E377" s="291"/>
      <c r="F377" s="291"/>
      <c r="G377" s="291"/>
      <c r="H377" s="291"/>
      <c r="I377" s="291"/>
      <c r="J377" s="342"/>
    </row>
    <row r="378" spans="1:10" ht="12.75" customHeight="1">
      <c r="A378" s="356"/>
      <c r="B378" s="291"/>
      <c r="C378" s="291"/>
      <c r="D378" s="291"/>
      <c r="E378" s="291"/>
      <c r="F378" s="291"/>
      <c r="G378" s="291"/>
      <c r="H378" s="291"/>
      <c r="I378" s="291"/>
      <c r="J378" s="342"/>
    </row>
    <row r="379" spans="1:10" ht="12.75" customHeight="1">
      <c r="A379" s="356"/>
      <c r="B379" s="291"/>
      <c r="C379" s="291"/>
      <c r="D379" s="291"/>
      <c r="E379" s="291"/>
      <c r="F379" s="291"/>
      <c r="G379" s="291"/>
      <c r="H379" s="291"/>
      <c r="I379" s="291"/>
      <c r="J379" s="342"/>
    </row>
    <row r="380" spans="1:10" ht="12.75" customHeight="1">
      <c r="A380" s="356"/>
      <c r="B380" s="291"/>
      <c r="C380" s="291"/>
      <c r="D380" s="291"/>
      <c r="E380" s="291"/>
      <c r="F380" s="291"/>
      <c r="G380" s="291"/>
      <c r="H380" s="291"/>
      <c r="I380" s="291"/>
      <c r="J380" s="342"/>
    </row>
    <row r="381" spans="1:10" ht="12.75" customHeight="1">
      <c r="A381" s="356"/>
      <c r="B381" s="291"/>
      <c r="C381" s="291"/>
      <c r="D381" s="291"/>
      <c r="E381" s="291"/>
      <c r="F381" s="291"/>
      <c r="G381" s="291"/>
      <c r="H381" s="291"/>
      <c r="I381" s="291"/>
      <c r="J381" s="342"/>
    </row>
    <row r="382" spans="1:10" ht="12.75" customHeight="1">
      <c r="A382" s="356"/>
      <c r="B382" s="291"/>
      <c r="C382" s="291"/>
      <c r="D382" s="291"/>
      <c r="E382" s="291"/>
      <c r="F382" s="291"/>
      <c r="G382" s="291"/>
      <c r="H382" s="291"/>
      <c r="I382" s="291"/>
      <c r="J382" s="342"/>
    </row>
    <row r="383" spans="1:10" ht="12.75" customHeight="1">
      <c r="A383" s="356"/>
      <c r="B383" s="291"/>
      <c r="C383" s="291"/>
      <c r="D383" s="291"/>
      <c r="E383" s="291"/>
      <c r="F383" s="291"/>
      <c r="G383" s="291"/>
      <c r="H383" s="291"/>
      <c r="I383" s="291"/>
      <c r="J383" s="342"/>
    </row>
    <row r="384" spans="1:10" ht="12.75" customHeight="1">
      <c r="A384" s="356"/>
      <c r="B384" s="291"/>
      <c r="C384" s="291"/>
      <c r="D384" s="291"/>
      <c r="E384" s="291"/>
      <c r="F384" s="291"/>
      <c r="G384" s="291"/>
      <c r="H384" s="291"/>
      <c r="I384" s="291"/>
      <c r="J384" s="342"/>
    </row>
    <row r="385" spans="1:10" ht="12.75" customHeight="1">
      <c r="A385" s="356"/>
      <c r="B385" s="291"/>
      <c r="C385" s="291"/>
      <c r="D385" s="291"/>
      <c r="E385" s="291"/>
      <c r="F385" s="291"/>
      <c r="G385" s="291"/>
      <c r="H385" s="291"/>
      <c r="I385" s="291"/>
      <c r="J385" s="342"/>
    </row>
    <row r="386" spans="1:10" ht="12.75" customHeight="1">
      <c r="A386" s="356"/>
      <c r="B386" s="291"/>
      <c r="C386" s="291"/>
      <c r="D386" s="291"/>
      <c r="E386" s="291"/>
      <c r="F386" s="291"/>
      <c r="G386" s="291"/>
      <c r="H386" s="291"/>
      <c r="I386" s="291"/>
      <c r="J386" s="342"/>
    </row>
    <row r="387" spans="1:10" ht="12.75" customHeight="1">
      <c r="A387" s="356"/>
      <c r="B387" s="291"/>
      <c r="C387" s="291"/>
      <c r="D387" s="291"/>
      <c r="E387" s="291"/>
      <c r="F387" s="291"/>
      <c r="G387" s="291"/>
      <c r="H387" s="291"/>
      <c r="I387" s="291"/>
      <c r="J387" s="342"/>
    </row>
    <row r="388" spans="1:10" ht="12.75" customHeight="1">
      <c r="A388" s="356"/>
      <c r="B388" s="291"/>
      <c r="C388" s="291"/>
      <c r="D388" s="291"/>
      <c r="E388" s="291"/>
      <c r="F388" s="291"/>
      <c r="G388" s="291"/>
      <c r="H388" s="291"/>
      <c r="I388" s="291"/>
      <c r="J388" s="342"/>
    </row>
    <row r="389" spans="1:10" ht="12.75" customHeight="1">
      <c r="A389" s="356"/>
      <c r="B389" s="291"/>
      <c r="C389" s="291"/>
      <c r="D389" s="291"/>
      <c r="E389" s="291"/>
      <c r="F389" s="291"/>
      <c r="G389" s="291"/>
      <c r="H389" s="291"/>
      <c r="I389" s="291"/>
      <c r="J389" s="342"/>
    </row>
    <row r="390" spans="1:10" ht="12.75" customHeight="1">
      <c r="A390" s="356"/>
      <c r="B390" s="291"/>
      <c r="C390" s="291"/>
      <c r="D390" s="291"/>
      <c r="E390" s="291"/>
      <c r="F390" s="291"/>
      <c r="G390" s="291"/>
      <c r="H390" s="291"/>
      <c r="I390" s="291"/>
      <c r="J390" s="342"/>
    </row>
    <row r="391" spans="1:10" ht="12.75" customHeight="1">
      <c r="A391" s="356"/>
      <c r="B391" s="291"/>
      <c r="C391" s="291"/>
      <c r="D391" s="291"/>
      <c r="E391" s="291"/>
      <c r="F391" s="291"/>
      <c r="G391" s="291"/>
      <c r="H391" s="291"/>
      <c r="I391" s="291"/>
      <c r="J391" s="342"/>
    </row>
    <row r="392" spans="1:10" ht="12.75" customHeight="1">
      <c r="A392" s="356"/>
      <c r="B392" s="291"/>
      <c r="C392" s="291"/>
      <c r="D392" s="291"/>
      <c r="E392" s="291"/>
      <c r="F392" s="291"/>
      <c r="G392" s="291"/>
      <c r="H392" s="291"/>
      <c r="I392" s="291"/>
      <c r="J392" s="342"/>
    </row>
    <row r="393" spans="1:10" ht="12.75" customHeight="1">
      <c r="A393" s="356"/>
      <c r="B393" s="291"/>
      <c r="C393" s="291"/>
      <c r="D393" s="291"/>
      <c r="E393" s="291"/>
      <c r="F393" s="291"/>
      <c r="G393" s="291"/>
      <c r="H393" s="291"/>
      <c r="I393" s="291"/>
      <c r="J393" s="342"/>
    </row>
    <row r="394" spans="1:10" ht="12.75" customHeight="1">
      <c r="A394" s="356"/>
      <c r="B394" s="291"/>
      <c r="C394" s="291"/>
      <c r="D394" s="291"/>
      <c r="E394" s="291"/>
      <c r="F394" s="291"/>
      <c r="G394" s="291"/>
      <c r="H394" s="291"/>
      <c r="I394" s="291"/>
      <c r="J394" s="342"/>
    </row>
    <row r="395" spans="1:10" ht="12.75" customHeight="1">
      <c r="A395" s="356"/>
      <c r="B395" s="291"/>
      <c r="C395" s="291"/>
      <c r="D395" s="291"/>
      <c r="E395" s="291"/>
      <c r="F395" s="291"/>
      <c r="G395" s="291"/>
      <c r="H395" s="291"/>
      <c r="I395" s="291"/>
      <c r="J395" s="342"/>
    </row>
    <row r="396" spans="1:10" ht="12.75" customHeight="1">
      <c r="A396" s="356"/>
      <c r="B396" s="291"/>
      <c r="C396" s="291"/>
      <c r="D396" s="291"/>
      <c r="E396" s="291"/>
      <c r="F396" s="291"/>
      <c r="G396" s="291"/>
      <c r="H396" s="291"/>
      <c r="I396" s="291"/>
      <c r="J396" s="342"/>
    </row>
    <row r="397" spans="1:10" ht="12.75" customHeight="1">
      <c r="A397" s="356"/>
      <c r="B397" s="291"/>
      <c r="C397" s="291"/>
      <c r="D397" s="291"/>
      <c r="E397" s="291"/>
      <c r="F397" s="291"/>
      <c r="G397" s="291"/>
      <c r="H397" s="291"/>
      <c r="I397" s="291"/>
      <c r="J397" s="342"/>
    </row>
    <row r="398" spans="1:10" ht="12.75" customHeight="1">
      <c r="A398" s="356"/>
      <c r="B398" s="291"/>
      <c r="C398" s="291"/>
      <c r="D398" s="291"/>
      <c r="E398" s="291"/>
      <c r="F398" s="291"/>
      <c r="G398" s="291"/>
      <c r="H398" s="291"/>
      <c r="I398" s="291"/>
      <c r="J398" s="342"/>
    </row>
    <row r="399" spans="1:10" ht="12.75" customHeight="1">
      <c r="A399" s="356"/>
      <c r="B399" s="291"/>
      <c r="C399" s="291"/>
      <c r="D399" s="291"/>
      <c r="E399" s="291"/>
      <c r="F399" s="291"/>
      <c r="G399" s="291"/>
      <c r="H399" s="291"/>
      <c r="I399" s="291"/>
      <c r="J399" s="342"/>
    </row>
    <row r="400" spans="1:10" ht="12.75" customHeight="1">
      <c r="A400" s="356"/>
      <c r="B400" s="291"/>
      <c r="C400" s="291"/>
      <c r="D400" s="291"/>
      <c r="E400" s="291"/>
      <c r="F400" s="291"/>
      <c r="G400" s="291"/>
      <c r="H400" s="291"/>
      <c r="I400" s="291"/>
      <c r="J400" s="342"/>
    </row>
    <row r="401" spans="1:10" ht="12.75" customHeight="1">
      <c r="A401" s="356"/>
      <c r="B401" s="291"/>
      <c r="C401" s="291"/>
      <c r="D401" s="291"/>
      <c r="E401" s="291"/>
      <c r="F401" s="291"/>
      <c r="G401" s="291"/>
      <c r="H401" s="291"/>
      <c r="I401" s="291"/>
      <c r="J401" s="342"/>
    </row>
    <row r="402" spans="1:10" ht="12.75" customHeight="1">
      <c r="A402" s="356"/>
      <c r="B402" s="291"/>
      <c r="C402" s="291"/>
      <c r="D402" s="291"/>
      <c r="E402" s="291"/>
      <c r="F402" s="291"/>
      <c r="G402" s="291"/>
      <c r="H402" s="291"/>
      <c r="I402" s="291"/>
      <c r="J402" s="342"/>
    </row>
    <row r="403" spans="1:10" ht="12.75" customHeight="1">
      <c r="A403" s="353"/>
      <c r="B403" s="301"/>
      <c r="C403" s="301"/>
      <c r="D403" s="301"/>
      <c r="E403" s="301"/>
      <c r="F403" s="301"/>
      <c r="G403" s="301"/>
      <c r="H403" s="301"/>
      <c r="I403" s="301"/>
      <c r="J403" s="303"/>
    </row>
    <row r="404" spans="1:10" ht="12.75" customHeight="1"/>
    <row r="405" spans="1:10" ht="12.75" customHeight="1">
      <c r="A405" s="286" t="s">
        <v>69</v>
      </c>
      <c r="B405" s="287"/>
      <c r="C405" s="287"/>
      <c r="D405" s="287"/>
      <c r="E405" s="287"/>
      <c r="F405" s="287"/>
      <c r="G405" s="287"/>
      <c r="H405" s="288" t="str">
        <f>'[1]CONTACT INFORMATION'!$A$24</f>
        <v>San Francisco</v>
      </c>
      <c r="I405" s="287"/>
      <c r="J405" s="289"/>
    </row>
    <row r="406" spans="1:10" ht="7.5" customHeight="1">
      <c r="A406" s="154"/>
      <c r="B406" s="154"/>
      <c r="C406" s="154"/>
      <c r="D406" s="154"/>
      <c r="E406" s="154"/>
      <c r="F406" s="154"/>
      <c r="G406" s="154"/>
      <c r="H406" s="154"/>
      <c r="I406" s="154"/>
      <c r="J406" s="154"/>
    </row>
    <row r="407" spans="1:10" ht="12.75" customHeight="1">
      <c r="A407" s="310" t="s">
        <v>176</v>
      </c>
      <c r="B407" s="287"/>
      <c r="C407" s="287"/>
      <c r="D407" s="287"/>
      <c r="E407" s="287"/>
      <c r="F407" s="287"/>
      <c r="G407" s="287"/>
      <c r="H407" s="287"/>
      <c r="I407" s="287"/>
      <c r="J407" s="289"/>
    </row>
    <row r="408" spans="1:10" ht="12.75" customHeight="1">
      <c r="A408" s="311" t="s">
        <v>144</v>
      </c>
      <c r="B408" s="312"/>
      <c r="C408" s="312"/>
      <c r="D408" s="313"/>
      <c r="E408" s="354" t="s">
        <v>931</v>
      </c>
      <c r="F408" s="312"/>
      <c r="G408" s="312"/>
      <c r="H408" s="312"/>
      <c r="I408" s="312"/>
      <c r="J408" s="313"/>
    </row>
    <row r="409" spans="1:10" ht="12.75" customHeight="1">
      <c r="A409" s="320" t="s">
        <v>171</v>
      </c>
      <c r="B409" s="301"/>
      <c r="C409" s="301"/>
      <c r="D409" s="303"/>
      <c r="E409" s="353"/>
      <c r="F409" s="301"/>
      <c r="G409" s="301"/>
      <c r="H409" s="301"/>
      <c r="I409" s="301"/>
      <c r="J409" s="303"/>
    </row>
    <row r="410" spans="1:10" ht="12.75" customHeight="1">
      <c r="A410" s="296" t="s">
        <v>930</v>
      </c>
      <c r="B410" s="287"/>
      <c r="C410" s="287"/>
      <c r="D410" s="289"/>
      <c r="E410" s="321" t="s">
        <v>93</v>
      </c>
      <c r="F410" s="287"/>
      <c r="G410" s="287"/>
      <c r="H410" s="287"/>
      <c r="I410" s="287"/>
      <c r="J410" s="289"/>
    </row>
    <row r="411" spans="1:10" ht="27" customHeight="1">
      <c r="A411" s="153"/>
      <c r="B411" s="152"/>
      <c r="C411" s="152"/>
      <c r="D411" s="152"/>
      <c r="E411" s="300" t="s">
        <v>147</v>
      </c>
      <c r="F411" s="301"/>
      <c r="G411" s="300" t="s">
        <v>148</v>
      </c>
      <c r="H411" s="301"/>
      <c r="I411" s="302" t="s">
        <v>149</v>
      </c>
      <c r="J411" s="303"/>
    </row>
    <row r="412" spans="1:10" ht="12.75" customHeight="1">
      <c r="A412" s="297" t="s">
        <v>150</v>
      </c>
      <c r="B412" s="287"/>
      <c r="C412" s="287"/>
      <c r="D412" s="289"/>
      <c r="E412" s="298">
        <v>87543</v>
      </c>
      <c r="F412" s="289"/>
      <c r="G412" s="298"/>
      <c r="H412" s="289"/>
      <c r="I412" s="299"/>
      <c r="J412" s="289"/>
    </row>
    <row r="413" spans="1:10" ht="12.75" customHeight="1">
      <c r="A413" s="305" t="s">
        <v>151</v>
      </c>
      <c r="B413" s="287"/>
      <c r="C413" s="287"/>
      <c r="D413" s="289"/>
      <c r="E413" s="306"/>
      <c r="F413" s="289"/>
      <c r="G413" s="322"/>
      <c r="H413" s="289"/>
      <c r="I413" s="323"/>
      <c r="J413" s="289"/>
    </row>
    <row r="414" spans="1:10" ht="12.75" customHeight="1">
      <c r="A414" s="297" t="s">
        <v>152</v>
      </c>
      <c r="B414" s="287"/>
      <c r="C414" s="287"/>
      <c r="D414" s="289"/>
      <c r="E414" s="298"/>
      <c r="F414" s="289"/>
      <c r="G414" s="298"/>
      <c r="H414" s="289"/>
      <c r="I414" s="299"/>
      <c r="J414" s="289"/>
    </row>
    <row r="415" spans="1:10" ht="12.75" customHeight="1">
      <c r="A415" s="305" t="s">
        <v>153</v>
      </c>
      <c r="B415" s="287"/>
      <c r="C415" s="287"/>
      <c r="D415" s="289"/>
      <c r="E415" s="306">
        <v>896058</v>
      </c>
      <c r="F415" s="289"/>
      <c r="G415" s="322"/>
      <c r="H415" s="289"/>
      <c r="I415" s="323"/>
      <c r="J415" s="289"/>
    </row>
    <row r="416" spans="1:10" ht="12.75" customHeight="1">
      <c r="A416" s="297" t="s">
        <v>154</v>
      </c>
      <c r="B416" s="287"/>
      <c r="C416" s="287"/>
      <c r="D416" s="289"/>
      <c r="E416" s="298"/>
      <c r="F416" s="289"/>
      <c r="G416" s="298"/>
      <c r="H416" s="289"/>
      <c r="I416" s="299"/>
      <c r="J416" s="289"/>
    </row>
    <row r="417" spans="1:10" ht="12.75" customHeight="1">
      <c r="A417" s="305" t="s">
        <v>155</v>
      </c>
      <c r="B417" s="287"/>
      <c r="C417" s="287"/>
      <c r="D417" s="289"/>
      <c r="E417" s="306"/>
      <c r="F417" s="289"/>
      <c r="G417" s="322"/>
      <c r="H417" s="289"/>
      <c r="I417" s="323"/>
      <c r="J417" s="289"/>
    </row>
    <row r="418" spans="1:10" ht="12.75" customHeight="1">
      <c r="A418" s="297" t="s">
        <v>156</v>
      </c>
      <c r="B418" s="287"/>
      <c r="C418" s="287"/>
      <c r="D418" s="289"/>
      <c r="E418" s="325"/>
      <c r="F418" s="289"/>
      <c r="G418" s="325"/>
      <c r="H418" s="289"/>
      <c r="I418" s="326"/>
      <c r="J418" s="289"/>
    </row>
    <row r="419" spans="1:10" ht="12.75" customHeight="1">
      <c r="A419" s="324"/>
      <c r="B419" s="287"/>
      <c r="C419" s="287"/>
      <c r="D419" s="289"/>
      <c r="E419" s="306"/>
      <c r="F419" s="289"/>
      <c r="G419" s="322"/>
      <c r="H419" s="289"/>
      <c r="I419" s="322"/>
      <c r="J419" s="289"/>
    </row>
    <row r="420" spans="1:10" ht="12.75" customHeight="1">
      <c r="A420" s="324"/>
      <c r="B420" s="287"/>
      <c r="C420" s="287"/>
      <c r="D420" s="289"/>
      <c r="E420" s="306"/>
      <c r="F420" s="289"/>
      <c r="G420" s="322"/>
      <c r="H420" s="289"/>
      <c r="I420" s="322"/>
      <c r="J420" s="289"/>
    </row>
    <row r="421" spans="1:10" ht="12.75" customHeight="1">
      <c r="A421" s="324"/>
      <c r="B421" s="287"/>
      <c r="C421" s="287"/>
      <c r="D421" s="289"/>
      <c r="E421" s="306"/>
      <c r="F421" s="289"/>
      <c r="G421" s="322"/>
      <c r="H421" s="289"/>
      <c r="I421" s="322"/>
      <c r="J421" s="289"/>
    </row>
    <row r="422" spans="1:10" ht="12.75" customHeight="1">
      <c r="A422" s="337" t="s">
        <v>157</v>
      </c>
      <c r="B422" s="287"/>
      <c r="C422" s="287"/>
      <c r="D422" s="289"/>
      <c r="E422" s="338">
        <f>SUM(E412:E421)</f>
        <v>983601</v>
      </c>
      <c r="F422" s="289"/>
      <c r="G422" s="338">
        <f>SUM(G412:G421)</f>
        <v>0</v>
      </c>
      <c r="H422" s="289"/>
      <c r="I422" s="338">
        <f>SUM(I412:I421)</f>
        <v>0</v>
      </c>
      <c r="J422" s="289"/>
    </row>
    <row r="423" spans="1:10" ht="12.75" customHeight="1">
      <c r="A423" s="339" t="s">
        <v>158</v>
      </c>
      <c r="B423" s="312"/>
      <c r="C423" s="312"/>
      <c r="D423" s="312"/>
      <c r="E423" s="312"/>
      <c r="F423" s="312"/>
      <c r="G423" s="312"/>
      <c r="H423" s="312"/>
      <c r="I423" s="312"/>
      <c r="J423" s="313"/>
    </row>
    <row r="424" spans="1:10" ht="12.75" customHeight="1">
      <c r="A424" s="340" t="s">
        <v>159</v>
      </c>
      <c r="B424" s="341"/>
      <c r="C424" s="341"/>
      <c r="D424" s="341"/>
      <c r="E424" s="341"/>
      <c r="F424" s="341"/>
      <c r="G424" s="341"/>
      <c r="H424" s="341"/>
      <c r="I424" s="341"/>
      <c r="J424" s="342"/>
    </row>
    <row r="425" spans="1:10" ht="12.75" customHeight="1">
      <c r="A425" s="340" t="s">
        <v>160</v>
      </c>
      <c r="B425" s="341"/>
      <c r="C425" s="341"/>
      <c r="D425" s="341"/>
      <c r="E425" s="341"/>
      <c r="F425" s="341"/>
      <c r="G425" s="341"/>
      <c r="H425" s="341"/>
      <c r="I425" s="341"/>
      <c r="J425" s="342"/>
    </row>
    <row r="426" spans="1:10" ht="12.75" customHeight="1">
      <c r="A426" s="336" t="s">
        <v>161</v>
      </c>
      <c r="B426" s="301"/>
      <c r="C426" s="301"/>
      <c r="D426" s="301"/>
      <c r="E426" s="301"/>
      <c r="F426" s="301"/>
      <c r="G426" s="301"/>
      <c r="H426" s="301"/>
      <c r="I426" s="301"/>
      <c r="J426" s="303"/>
    </row>
    <row r="427" spans="1:10" ht="12.75" customHeight="1">
      <c r="A427" s="355" t="s">
        <v>954</v>
      </c>
      <c r="B427" s="312"/>
      <c r="C427" s="312"/>
      <c r="D427" s="312"/>
      <c r="E427" s="312"/>
      <c r="F427" s="312"/>
      <c r="G427" s="312"/>
      <c r="H427" s="312"/>
      <c r="I427" s="312"/>
      <c r="J427" s="313"/>
    </row>
    <row r="428" spans="1:10" ht="12.75" customHeight="1">
      <c r="A428" s="356"/>
      <c r="B428" s="291"/>
      <c r="C428" s="291"/>
      <c r="D428" s="291"/>
      <c r="E428" s="291"/>
      <c r="F428" s="291"/>
      <c r="G428" s="291"/>
      <c r="H428" s="291"/>
      <c r="I428" s="291"/>
      <c r="J428" s="342"/>
    </row>
    <row r="429" spans="1:10" ht="12.75" customHeight="1">
      <c r="A429" s="356"/>
      <c r="B429" s="291"/>
      <c r="C429" s="291"/>
      <c r="D429" s="291"/>
      <c r="E429" s="291"/>
      <c r="F429" s="291"/>
      <c r="G429" s="291"/>
      <c r="H429" s="291"/>
      <c r="I429" s="291"/>
      <c r="J429" s="342"/>
    </row>
    <row r="430" spans="1:10" ht="12.75" customHeight="1">
      <c r="A430" s="356"/>
      <c r="B430" s="291"/>
      <c r="C430" s="291"/>
      <c r="D430" s="291"/>
      <c r="E430" s="291"/>
      <c r="F430" s="291"/>
      <c r="G430" s="291"/>
      <c r="H430" s="291"/>
      <c r="I430" s="291"/>
      <c r="J430" s="342"/>
    </row>
    <row r="431" spans="1:10" ht="12.75" customHeight="1">
      <c r="A431" s="356"/>
      <c r="B431" s="291"/>
      <c r="C431" s="291"/>
      <c r="D431" s="291"/>
      <c r="E431" s="291"/>
      <c r="F431" s="291"/>
      <c r="G431" s="291"/>
      <c r="H431" s="291"/>
      <c r="I431" s="291"/>
      <c r="J431" s="342"/>
    </row>
    <row r="432" spans="1:10" ht="12.75" customHeight="1">
      <c r="A432" s="356"/>
      <c r="B432" s="291"/>
      <c r="C432" s="291"/>
      <c r="D432" s="291"/>
      <c r="E432" s="291"/>
      <c r="F432" s="291"/>
      <c r="G432" s="291"/>
      <c r="H432" s="291"/>
      <c r="I432" s="291"/>
      <c r="J432" s="342"/>
    </row>
    <row r="433" spans="1:10" ht="12.75" customHeight="1">
      <c r="A433" s="356"/>
      <c r="B433" s="291"/>
      <c r="C433" s="291"/>
      <c r="D433" s="291"/>
      <c r="E433" s="291"/>
      <c r="F433" s="291"/>
      <c r="G433" s="291"/>
      <c r="H433" s="291"/>
      <c r="I433" s="291"/>
      <c r="J433" s="342"/>
    </row>
    <row r="434" spans="1:10" ht="12.75" customHeight="1">
      <c r="A434" s="356"/>
      <c r="B434" s="291"/>
      <c r="C434" s="291"/>
      <c r="D434" s="291"/>
      <c r="E434" s="291"/>
      <c r="F434" s="291"/>
      <c r="G434" s="291"/>
      <c r="H434" s="291"/>
      <c r="I434" s="291"/>
      <c r="J434" s="342"/>
    </row>
    <row r="435" spans="1:10" ht="12.75" customHeight="1">
      <c r="A435" s="356"/>
      <c r="B435" s="291"/>
      <c r="C435" s="291"/>
      <c r="D435" s="291"/>
      <c r="E435" s="291"/>
      <c r="F435" s="291"/>
      <c r="G435" s="291"/>
      <c r="H435" s="291"/>
      <c r="I435" s="291"/>
      <c r="J435" s="342"/>
    </row>
    <row r="436" spans="1:10" ht="12.75" customHeight="1">
      <c r="A436" s="356"/>
      <c r="B436" s="291"/>
      <c r="C436" s="291"/>
      <c r="D436" s="291"/>
      <c r="E436" s="291"/>
      <c r="F436" s="291"/>
      <c r="G436" s="291"/>
      <c r="H436" s="291"/>
      <c r="I436" s="291"/>
      <c r="J436" s="342"/>
    </row>
    <row r="437" spans="1:10" ht="12.75" customHeight="1">
      <c r="A437" s="356"/>
      <c r="B437" s="291"/>
      <c r="C437" s="291"/>
      <c r="D437" s="291"/>
      <c r="E437" s="291"/>
      <c r="F437" s="291"/>
      <c r="G437" s="291"/>
      <c r="H437" s="291"/>
      <c r="I437" s="291"/>
      <c r="J437" s="342"/>
    </row>
    <row r="438" spans="1:10" ht="12.75" customHeight="1">
      <c r="A438" s="356"/>
      <c r="B438" s="291"/>
      <c r="C438" s="291"/>
      <c r="D438" s="291"/>
      <c r="E438" s="291"/>
      <c r="F438" s="291"/>
      <c r="G438" s="291"/>
      <c r="H438" s="291"/>
      <c r="I438" s="291"/>
      <c r="J438" s="342"/>
    </row>
    <row r="439" spans="1:10" ht="12.75" customHeight="1">
      <c r="A439" s="356"/>
      <c r="B439" s="291"/>
      <c r="C439" s="291"/>
      <c r="D439" s="291"/>
      <c r="E439" s="291"/>
      <c r="F439" s="291"/>
      <c r="G439" s="291"/>
      <c r="H439" s="291"/>
      <c r="I439" s="291"/>
      <c r="J439" s="342"/>
    </row>
    <row r="440" spans="1:10" ht="12.75" customHeight="1">
      <c r="A440" s="356"/>
      <c r="B440" s="291"/>
      <c r="C440" s="291"/>
      <c r="D440" s="291"/>
      <c r="E440" s="291"/>
      <c r="F440" s="291"/>
      <c r="G440" s="291"/>
      <c r="H440" s="291"/>
      <c r="I440" s="291"/>
      <c r="J440" s="342"/>
    </row>
    <row r="441" spans="1:10" ht="12.75" customHeight="1">
      <c r="A441" s="356"/>
      <c r="B441" s="291"/>
      <c r="C441" s="291"/>
      <c r="D441" s="291"/>
      <c r="E441" s="291"/>
      <c r="F441" s="291"/>
      <c r="G441" s="291"/>
      <c r="H441" s="291"/>
      <c r="I441" s="291"/>
      <c r="J441" s="342"/>
    </row>
    <row r="442" spans="1:10" ht="12.75" customHeight="1">
      <c r="A442" s="356"/>
      <c r="B442" s="291"/>
      <c r="C442" s="291"/>
      <c r="D442" s="291"/>
      <c r="E442" s="291"/>
      <c r="F442" s="291"/>
      <c r="G442" s="291"/>
      <c r="H442" s="291"/>
      <c r="I442" s="291"/>
      <c r="J442" s="342"/>
    </row>
    <row r="443" spans="1:10" ht="12.75" customHeight="1">
      <c r="A443" s="356"/>
      <c r="B443" s="291"/>
      <c r="C443" s="291"/>
      <c r="D443" s="291"/>
      <c r="E443" s="291"/>
      <c r="F443" s="291"/>
      <c r="G443" s="291"/>
      <c r="H443" s="291"/>
      <c r="I443" s="291"/>
      <c r="J443" s="342"/>
    </row>
    <row r="444" spans="1:10" ht="12.75" customHeight="1">
      <c r="A444" s="356"/>
      <c r="B444" s="291"/>
      <c r="C444" s="291"/>
      <c r="D444" s="291"/>
      <c r="E444" s="291"/>
      <c r="F444" s="291"/>
      <c r="G444" s="291"/>
      <c r="H444" s="291"/>
      <c r="I444" s="291"/>
      <c r="J444" s="342"/>
    </row>
    <row r="445" spans="1:10" ht="12.75" customHeight="1">
      <c r="A445" s="356"/>
      <c r="B445" s="291"/>
      <c r="C445" s="291"/>
      <c r="D445" s="291"/>
      <c r="E445" s="291"/>
      <c r="F445" s="291"/>
      <c r="G445" s="291"/>
      <c r="H445" s="291"/>
      <c r="I445" s="291"/>
      <c r="J445" s="342"/>
    </row>
    <row r="446" spans="1:10" ht="12.75" customHeight="1">
      <c r="A446" s="356"/>
      <c r="B446" s="291"/>
      <c r="C446" s="291"/>
      <c r="D446" s="291"/>
      <c r="E446" s="291"/>
      <c r="F446" s="291"/>
      <c r="G446" s="291"/>
      <c r="H446" s="291"/>
      <c r="I446" s="291"/>
      <c r="J446" s="342"/>
    </row>
    <row r="447" spans="1:10" ht="12.75" customHeight="1">
      <c r="A447" s="356"/>
      <c r="B447" s="291"/>
      <c r="C447" s="291"/>
      <c r="D447" s="291"/>
      <c r="E447" s="291"/>
      <c r="F447" s="291"/>
      <c r="G447" s="291"/>
      <c r="H447" s="291"/>
      <c r="I447" s="291"/>
      <c r="J447" s="342"/>
    </row>
    <row r="448" spans="1:10" ht="12.75" customHeight="1">
      <c r="A448" s="356"/>
      <c r="B448" s="291"/>
      <c r="C448" s="291"/>
      <c r="D448" s="291"/>
      <c r="E448" s="291"/>
      <c r="F448" s="291"/>
      <c r="G448" s="291"/>
      <c r="H448" s="291"/>
      <c r="I448" s="291"/>
      <c r="J448" s="342"/>
    </row>
    <row r="449" spans="1:10" ht="12.75" customHeight="1">
      <c r="A449" s="356"/>
      <c r="B449" s="291"/>
      <c r="C449" s="291"/>
      <c r="D449" s="291"/>
      <c r="E449" s="291"/>
      <c r="F449" s="291"/>
      <c r="G449" s="291"/>
      <c r="H449" s="291"/>
      <c r="I449" s="291"/>
      <c r="J449" s="342"/>
    </row>
    <row r="450" spans="1:10" ht="12.75" customHeight="1">
      <c r="A450" s="356"/>
      <c r="B450" s="291"/>
      <c r="C450" s="291"/>
      <c r="D450" s="291"/>
      <c r="E450" s="291"/>
      <c r="F450" s="291"/>
      <c r="G450" s="291"/>
      <c r="H450" s="291"/>
      <c r="I450" s="291"/>
      <c r="J450" s="342"/>
    </row>
    <row r="451" spans="1:10" ht="12.75" customHeight="1">
      <c r="A451" s="356"/>
      <c r="B451" s="291"/>
      <c r="C451" s="291"/>
      <c r="D451" s="291"/>
      <c r="E451" s="291"/>
      <c r="F451" s="291"/>
      <c r="G451" s="291"/>
      <c r="H451" s="291"/>
      <c r="I451" s="291"/>
      <c r="J451" s="342"/>
    </row>
    <row r="452" spans="1:10" ht="12.75" customHeight="1">
      <c r="A452" s="356"/>
      <c r="B452" s="291"/>
      <c r="C452" s="291"/>
      <c r="D452" s="291"/>
      <c r="E452" s="291"/>
      <c r="F452" s="291"/>
      <c r="G452" s="291"/>
      <c r="H452" s="291"/>
      <c r="I452" s="291"/>
      <c r="J452" s="342"/>
    </row>
    <row r="453" spans="1:10" ht="12.75" customHeight="1">
      <c r="A453" s="356"/>
      <c r="B453" s="291"/>
      <c r="C453" s="291"/>
      <c r="D453" s="291"/>
      <c r="E453" s="291"/>
      <c r="F453" s="291"/>
      <c r="G453" s="291"/>
      <c r="H453" s="291"/>
      <c r="I453" s="291"/>
      <c r="J453" s="342"/>
    </row>
    <row r="454" spans="1:10" ht="12.75" customHeight="1">
      <c r="A454" s="356"/>
      <c r="B454" s="291"/>
      <c r="C454" s="291"/>
      <c r="D454" s="291"/>
      <c r="E454" s="291"/>
      <c r="F454" s="291"/>
      <c r="G454" s="291"/>
      <c r="H454" s="291"/>
      <c r="I454" s="291"/>
      <c r="J454" s="342"/>
    </row>
    <row r="455" spans="1:10" ht="12.75" customHeight="1">
      <c r="A455" s="356"/>
      <c r="B455" s="291"/>
      <c r="C455" s="291"/>
      <c r="D455" s="291"/>
      <c r="E455" s="291"/>
      <c r="F455" s="291"/>
      <c r="G455" s="291"/>
      <c r="H455" s="291"/>
      <c r="I455" s="291"/>
      <c r="J455" s="342"/>
    </row>
    <row r="456" spans="1:10" ht="12.75" customHeight="1">
      <c r="A456" s="356"/>
      <c r="B456" s="291"/>
      <c r="C456" s="291"/>
      <c r="D456" s="291"/>
      <c r="E456" s="291"/>
      <c r="F456" s="291"/>
      <c r="G456" s="291"/>
      <c r="H456" s="291"/>
      <c r="I456" s="291"/>
      <c r="J456" s="342"/>
    </row>
    <row r="457" spans="1:10" ht="12.75" customHeight="1">
      <c r="A457" s="356"/>
      <c r="B457" s="291"/>
      <c r="C457" s="291"/>
      <c r="D457" s="291"/>
      <c r="E457" s="291"/>
      <c r="F457" s="291"/>
      <c r="G457" s="291"/>
      <c r="H457" s="291"/>
      <c r="I457" s="291"/>
      <c r="J457" s="342"/>
    </row>
    <row r="458" spans="1:10" ht="12.75" customHeight="1">
      <c r="A458" s="356"/>
      <c r="B458" s="291"/>
      <c r="C458" s="291"/>
      <c r="D458" s="291"/>
      <c r="E458" s="291"/>
      <c r="F458" s="291"/>
      <c r="G458" s="291"/>
      <c r="H458" s="291"/>
      <c r="I458" s="291"/>
      <c r="J458" s="342"/>
    </row>
    <row r="459" spans="1:10" ht="12.75" customHeight="1">
      <c r="A459" s="356"/>
      <c r="B459" s="291"/>
      <c r="C459" s="291"/>
      <c r="D459" s="291"/>
      <c r="E459" s="291"/>
      <c r="F459" s="291"/>
      <c r="G459" s="291"/>
      <c r="H459" s="291"/>
      <c r="I459" s="291"/>
      <c r="J459" s="342"/>
    </row>
    <row r="460" spans="1:10" ht="12.75" customHeight="1">
      <c r="A460" s="356"/>
      <c r="B460" s="291"/>
      <c r="C460" s="291"/>
      <c r="D460" s="291"/>
      <c r="E460" s="291"/>
      <c r="F460" s="291"/>
      <c r="G460" s="291"/>
      <c r="H460" s="291"/>
      <c r="I460" s="291"/>
      <c r="J460" s="342"/>
    </row>
    <row r="461" spans="1:10" ht="12.75" customHeight="1">
      <c r="A461" s="353"/>
      <c r="B461" s="301"/>
      <c r="C461" s="301"/>
      <c r="D461" s="301"/>
      <c r="E461" s="301"/>
      <c r="F461" s="301"/>
      <c r="G461" s="301"/>
      <c r="H461" s="301"/>
      <c r="I461" s="301"/>
      <c r="J461" s="303"/>
    </row>
    <row r="462" spans="1:10" ht="12.75" customHeight="1"/>
    <row r="463" spans="1:10" ht="12.75" customHeight="1">
      <c r="A463" s="286" t="s">
        <v>69</v>
      </c>
      <c r="B463" s="287"/>
      <c r="C463" s="287"/>
      <c r="D463" s="287"/>
      <c r="E463" s="287"/>
      <c r="F463" s="287"/>
      <c r="G463" s="287"/>
      <c r="H463" s="288" t="str">
        <f>'[1]CONTACT INFORMATION'!$A$24</f>
        <v>San Francisco</v>
      </c>
      <c r="I463" s="287"/>
      <c r="J463" s="289"/>
    </row>
    <row r="464" spans="1:10" ht="7.5" customHeight="1">
      <c r="A464" s="154"/>
      <c r="B464" s="154"/>
      <c r="C464" s="154"/>
      <c r="D464" s="154"/>
      <c r="E464" s="154"/>
      <c r="F464" s="154"/>
      <c r="G464" s="154"/>
      <c r="H464" s="154"/>
      <c r="I464" s="154"/>
      <c r="J464" s="154"/>
    </row>
    <row r="465" spans="1:10" ht="12.75" customHeight="1">
      <c r="A465" s="310" t="s">
        <v>177</v>
      </c>
      <c r="B465" s="287"/>
      <c r="C465" s="287"/>
      <c r="D465" s="287"/>
      <c r="E465" s="287"/>
      <c r="F465" s="287"/>
      <c r="G465" s="287"/>
      <c r="H465" s="287"/>
      <c r="I465" s="287"/>
      <c r="J465" s="289"/>
    </row>
    <row r="466" spans="1:10" ht="12.75" customHeight="1">
      <c r="A466" s="311" t="s">
        <v>144</v>
      </c>
      <c r="B466" s="312"/>
      <c r="C466" s="312"/>
      <c r="D466" s="313"/>
      <c r="E466" s="354"/>
      <c r="F466" s="312"/>
      <c r="G466" s="312"/>
      <c r="H466" s="312"/>
      <c r="I466" s="312"/>
      <c r="J466" s="313"/>
    </row>
    <row r="467" spans="1:10" ht="12.75" customHeight="1">
      <c r="A467" s="320" t="s">
        <v>171</v>
      </c>
      <c r="B467" s="301"/>
      <c r="C467" s="301"/>
      <c r="D467" s="303"/>
      <c r="E467" s="353"/>
      <c r="F467" s="301"/>
      <c r="G467" s="301"/>
      <c r="H467" s="301"/>
      <c r="I467" s="301"/>
      <c r="J467" s="303"/>
    </row>
    <row r="468" spans="1:10" ht="12.75" customHeight="1">
      <c r="A468" s="296" t="s">
        <v>930</v>
      </c>
      <c r="B468" s="287"/>
      <c r="C468" s="287"/>
      <c r="D468" s="289"/>
      <c r="E468" s="321"/>
      <c r="F468" s="287"/>
      <c r="G468" s="287"/>
      <c r="H468" s="287"/>
      <c r="I468" s="287"/>
      <c r="J468" s="289"/>
    </row>
    <row r="469" spans="1:10" ht="27" customHeight="1">
      <c r="A469" s="153"/>
      <c r="B469" s="152"/>
      <c r="C469" s="152"/>
      <c r="D469" s="152"/>
      <c r="E469" s="300" t="s">
        <v>147</v>
      </c>
      <c r="F469" s="301"/>
      <c r="G469" s="300" t="s">
        <v>148</v>
      </c>
      <c r="H469" s="301"/>
      <c r="I469" s="302" t="s">
        <v>149</v>
      </c>
      <c r="J469" s="303"/>
    </row>
    <row r="470" spans="1:10" ht="12.75" customHeight="1">
      <c r="A470" s="297" t="s">
        <v>150</v>
      </c>
      <c r="B470" s="287"/>
      <c r="C470" s="287"/>
      <c r="D470" s="289"/>
      <c r="E470" s="298"/>
      <c r="F470" s="289"/>
      <c r="G470" s="298"/>
      <c r="H470" s="289"/>
      <c r="I470" s="299"/>
      <c r="J470" s="289"/>
    </row>
    <row r="471" spans="1:10" ht="12.75" customHeight="1">
      <c r="A471" s="305" t="s">
        <v>151</v>
      </c>
      <c r="B471" s="287"/>
      <c r="C471" s="287"/>
      <c r="D471" s="289"/>
      <c r="E471" s="306"/>
      <c r="F471" s="289"/>
      <c r="G471" s="322"/>
      <c r="H471" s="289"/>
      <c r="I471" s="323"/>
      <c r="J471" s="289"/>
    </row>
    <row r="472" spans="1:10" ht="12.75" customHeight="1">
      <c r="A472" s="297" t="s">
        <v>152</v>
      </c>
      <c r="B472" s="287"/>
      <c r="C472" s="287"/>
      <c r="D472" s="289"/>
      <c r="E472" s="298"/>
      <c r="F472" s="289"/>
      <c r="G472" s="298"/>
      <c r="H472" s="289"/>
      <c r="I472" s="299"/>
      <c r="J472" s="289"/>
    </row>
    <row r="473" spans="1:10" ht="12.75" customHeight="1">
      <c r="A473" s="305" t="s">
        <v>153</v>
      </c>
      <c r="B473" s="287"/>
      <c r="C473" s="287"/>
      <c r="D473" s="289"/>
      <c r="E473" s="306"/>
      <c r="F473" s="289"/>
      <c r="G473" s="322"/>
      <c r="H473" s="289"/>
      <c r="I473" s="323"/>
      <c r="J473" s="289"/>
    </row>
    <row r="474" spans="1:10" ht="12.75" customHeight="1">
      <c r="A474" s="297" t="s">
        <v>154</v>
      </c>
      <c r="B474" s="287"/>
      <c r="C474" s="287"/>
      <c r="D474" s="289"/>
      <c r="E474" s="298"/>
      <c r="F474" s="289"/>
      <c r="G474" s="298"/>
      <c r="H474" s="289"/>
      <c r="I474" s="299"/>
      <c r="J474" s="289"/>
    </row>
    <row r="475" spans="1:10" ht="12.75" customHeight="1">
      <c r="A475" s="305" t="s">
        <v>155</v>
      </c>
      <c r="B475" s="287"/>
      <c r="C475" s="287"/>
      <c r="D475" s="289"/>
      <c r="E475" s="306"/>
      <c r="F475" s="289"/>
      <c r="G475" s="322"/>
      <c r="H475" s="289"/>
      <c r="I475" s="323"/>
      <c r="J475" s="289"/>
    </row>
    <row r="476" spans="1:10" ht="12.75" customHeight="1">
      <c r="A476" s="297" t="s">
        <v>156</v>
      </c>
      <c r="B476" s="287"/>
      <c r="C476" s="287"/>
      <c r="D476" s="289"/>
      <c r="E476" s="325"/>
      <c r="F476" s="289"/>
      <c r="G476" s="325"/>
      <c r="H476" s="289"/>
      <c r="I476" s="326"/>
      <c r="J476" s="289"/>
    </row>
    <row r="477" spans="1:10" ht="12.75" customHeight="1">
      <c r="A477" s="324"/>
      <c r="B477" s="287"/>
      <c r="C477" s="287"/>
      <c r="D477" s="289"/>
      <c r="E477" s="306"/>
      <c r="F477" s="289"/>
      <c r="G477" s="322"/>
      <c r="H477" s="289"/>
      <c r="I477" s="322"/>
      <c r="J477" s="289"/>
    </row>
    <row r="478" spans="1:10" ht="12.75" customHeight="1">
      <c r="A478" s="324"/>
      <c r="B478" s="287"/>
      <c r="C478" s="287"/>
      <c r="D478" s="289"/>
      <c r="E478" s="306"/>
      <c r="F478" s="289"/>
      <c r="G478" s="322"/>
      <c r="H478" s="289"/>
      <c r="I478" s="322"/>
      <c r="J478" s="289"/>
    </row>
    <row r="479" spans="1:10" ht="12.75" customHeight="1">
      <c r="A479" s="324"/>
      <c r="B479" s="287"/>
      <c r="C479" s="287"/>
      <c r="D479" s="289"/>
      <c r="E479" s="306"/>
      <c r="F479" s="289"/>
      <c r="G479" s="322"/>
      <c r="H479" s="289"/>
      <c r="I479" s="322"/>
      <c r="J479" s="289"/>
    </row>
    <row r="480" spans="1:10" ht="12.75" customHeight="1">
      <c r="A480" s="337" t="s">
        <v>157</v>
      </c>
      <c r="B480" s="287"/>
      <c r="C480" s="287"/>
      <c r="D480" s="289"/>
      <c r="E480" s="338">
        <f>SUM(E470:E479)</f>
        <v>0</v>
      </c>
      <c r="F480" s="289"/>
      <c r="G480" s="338">
        <f>SUM(G470:G479)</f>
        <v>0</v>
      </c>
      <c r="H480" s="289"/>
      <c r="I480" s="338">
        <f>SUM(I470:I479)</f>
        <v>0</v>
      </c>
      <c r="J480" s="289"/>
    </row>
    <row r="481" spans="1:10" ht="12.75" customHeight="1">
      <c r="A481" s="339" t="s">
        <v>158</v>
      </c>
      <c r="B481" s="312"/>
      <c r="C481" s="312"/>
      <c r="D481" s="312"/>
      <c r="E481" s="312"/>
      <c r="F481" s="312"/>
      <c r="G481" s="312"/>
      <c r="H481" s="312"/>
      <c r="I481" s="312"/>
      <c r="J481" s="313"/>
    </row>
    <row r="482" spans="1:10" ht="12.75" customHeight="1">
      <c r="A482" s="340" t="s">
        <v>159</v>
      </c>
      <c r="B482" s="341"/>
      <c r="C482" s="341"/>
      <c r="D482" s="341"/>
      <c r="E482" s="341"/>
      <c r="F482" s="341"/>
      <c r="G482" s="341"/>
      <c r="H482" s="341"/>
      <c r="I482" s="341"/>
      <c r="J482" s="342"/>
    </row>
    <row r="483" spans="1:10" ht="12.75" customHeight="1">
      <c r="A483" s="340" t="s">
        <v>160</v>
      </c>
      <c r="B483" s="341"/>
      <c r="C483" s="341"/>
      <c r="D483" s="341"/>
      <c r="E483" s="341"/>
      <c r="F483" s="341"/>
      <c r="G483" s="341"/>
      <c r="H483" s="341"/>
      <c r="I483" s="341"/>
      <c r="J483" s="342"/>
    </row>
    <row r="484" spans="1:10" ht="12.75" customHeight="1">
      <c r="A484" s="336" t="s">
        <v>161</v>
      </c>
      <c r="B484" s="301"/>
      <c r="C484" s="301"/>
      <c r="D484" s="301"/>
      <c r="E484" s="301"/>
      <c r="F484" s="301"/>
      <c r="G484" s="301"/>
      <c r="H484" s="301"/>
      <c r="I484" s="301"/>
      <c r="J484" s="303"/>
    </row>
    <row r="485" spans="1:10" ht="12.75" customHeight="1">
      <c r="A485" s="355"/>
      <c r="B485" s="312"/>
      <c r="C485" s="312"/>
      <c r="D485" s="312"/>
      <c r="E485" s="312"/>
      <c r="F485" s="312"/>
      <c r="G485" s="312"/>
      <c r="H485" s="312"/>
      <c r="I485" s="312"/>
      <c r="J485" s="313"/>
    </row>
    <row r="486" spans="1:10" ht="12.75" customHeight="1">
      <c r="A486" s="356"/>
      <c r="B486" s="291"/>
      <c r="C486" s="291"/>
      <c r="D486" s="291"/>
      <c r="E486" s="291"/>
      <c r="F486" s="291"/>
      <c r="G486" s="291"/>
      <c r="H486" s="291"/>
      <c r="I486" s="291"/>
      <c r="J486" s="342"/>
    </row>
    <row r="487" spans="1:10" ht="12.75" customHeight="1">
      <c r="A487" s="356"/>
      <c r="B487" s="291"/>
      <c r="C487" s="291"/>
      <c r="D487" s="291"/>
      <c r="E487" s="291"/>
      <c r="F487" s="291"/>
      <c r="G487" s="291"/>
      <c r="H487" s="291"/>
      <c r="I487" s="291"/>
      <c r="J487" s="342"/>
    </row>
    <row r="488" spans="1:10" ht="12.75" customHeight="1">
      <c r="A488" s="356"/>
      <c r="B488" s="291"/>
      <c r="C488" s="291"/>
      <c r="D488" s="291"/>
      <c r="E488" s="291"/>
      <c r="F488" s="291"/>
      <c r="G488" s="291"/>
      <c r="H488" s="291"/>
      <c r="I488" s="291"/>
      <c r="J488" s="342"/>
    </row>
    <row r="489" spans="1:10" ht="12.75" customHeight="1">
      <c r="A489" s="356"/>
      <c r="B489" s="291"/>
      <c r="C489" s="291"/>
      <c r="D489" s="291"/>
      <c r="E489" s="291"/>
      <c r="F489" s="291"/>
      <c r="G489" s="291"/>
      <c r="H489" s="291"/>
      <c r="I489" s="291"/>
      <c r="J489" s="342"/>
    </row>
    <row r="490" spans="1:10" ht="12.75" customHeight="1">
      <c r="A490" s="356"/>
      <c r="B490" s="291"/>
      <c r="C490" s="291"/>
      <c r="D490" s="291"/>
      <c r="E490" s="291"/>
      <c r="F490" s="291"/>
      <c r="G490" s="291"/>
      <c r="H490" s="291"/>
      <c r="I490" s="291"/>
      <c r="J490" s="342"/>
    </row>
    <row r="491" spans="1:10" ht="12.75" customHeight="1">
      <c r="A491" s="356"/>
      <c r="B491" s="291"/>
      <c r="C491" s="291"/>
      <c r="D491" s="291"/>
      <c r="E491" s="291"/>
      <c r="F491" s="291"/>
      <c r="G491" s="291"/>
      <c r="H491" s="291"/>
      <c r="I491" s="291"/>
      <c r="J491" s="342"/>
    </row>
    <row r="492" spans="1:10" ht="12.75" customHeight="1">
      <c r="A492" s="356"/>
      <c r="B492" s="291"/>
      <c r="C492" s="291"/>
      <c r="D492" s="291"/>
      <c r="E492" s="291"/>
      <c r="F492" s="291"/>
      <c r="G492" s="291"/>
      <c r="H492" s="291"/>
      <c r="I492" s="291"/>
      <c r="J492" s="342"/>
    </row>
    <row r="493" spans="1:10" ht="12.75" customHeight="1">
      <c r="A493" s="356"/>
      <c r="B493" s="291"/>
      <c r="C493" s="291"/>
      <c r="D493" s="291"/>
      <c r="E493" s="291"/>
      <c r="F493" s="291"/>
      <c r="G493" s="291"/>
      <c r="H493" s="291"/>
      <c r="I493" s="291"/>
      <c r="J493" s="342"/>
    </row>
    <row r="494" spans="1:10" ht="12.75" customHeight="1">
      <c r="A494" s="356"/>
      <c r="B494" s="291"/>
      <c r="C494" s="291"/>
      <c r="D494" s="291"/>
      <c r="E494" s="291"/>
      <c r="F494" s="291"/>
      <c r="G494" s="291"/>
      <c r="H494" s="291"/>
      <c r="I494" s="291"/>
      <c r="J494" s="342"/>
    </row>
    <row r="495" spans="1:10" ht="12.75" customHeight="1">
      <c r="A495" s="356"/>
      <c r="B495" s="291"/>
      <c r="C495" s="291"/>
      <c r="D495" s="291"/>
      <c r="E495" s="291"/>
      <c r="F495" s="291"/>
      <c r="G495" s="291"/>
      <c r="H495" s="291"/>
      <c r="I495" s="291"/>
      <c r="J495" s="342"/>
    </row>
    <row r="496" spans="1:10" ht="12.75" customHeight="1">
      <c r="A496" s="356"/>
      <c r="B496" s="291"/>
      <c r="C496" s="291"/>
      <c r="D496" s="291"/>
      <c r="E496" s="291"/>
      <c r="F496" s="291"/>
      <c r="G496" s="291"/>
      <c r="H496" s="291"/>
      <c r="I496" s="291"/>
      <c r="J496" s="342"/>
    </row>
    <row r="497" spans="1:10" ht="12.75" customHeight="1">
      <c r="A497" s="356"/>
      <c r="B497" s="291"/>
      <c r="C497" s="291"/>
      <c r="D497" s="291"/>
      <c r="E497" s="291"/>
      <c r="F497" s="291"/>
      <c r="G497" s="291"/>
      <c r="H497" s="291"/>
      <c r="I497" s="291"/>
      <c r="J497" s="342"/>
    </row>
    <row r="498" spans="1:10" ht="12.75" customHeight="1">
      <c r="A498" s="356"/>
      <c r="B498" s="291"/>
      <c r="C498" s="291"/>
      <c r="D498" s="291"/>
      <c r="E498" s="291"/>
      <c r="F498" s="291"/>
      <c r="G498" s="291"/>
      <c r="H498" s="291"/>
      <c r="I498" s="291"/>
      <c r="J498" s="342"/>
    </row>
    <row r="499" spans="1:10" ht="12.75" customHeight="1">
      <c r="A499" s="356"/>
      <c r="B499" s="291"/>
      <c r="C499" s="291"/>
      <c r="D499" s="291"/>
      <c r="E499" s="291"/>
      <c r="F499" s="291"/>
      <c r="G499" s="291"/>
      <c r="H499" s="291"/>
      <c r="I499" s="291"/>
      <c r="J499" s="342"/>
    </row>
    <row r="500" spans="1:10" ht="12.75" customHeight="1">
      <c r="A500" s="356"/>
      <c r="B500" s="291"/>
      <c r="C500" s="291"/>
      <c r="D500" s="291"/>
      <c r="E500" s="291"/>
      <c r="F500" s="291"/>
      <c r="G500" s="291"/>
      <c r="H500" s="291"/>
      <c r="I500" s="291"/>
      <c r="J500" s="342"/>
    </row>
    <row r="501" spans="1:10" ht="12.75" customHeight="1">
      <c r="A501" s="356"/>
      <c r="B501" s="291"/>
      <c r="C501" s="291"/>
      <c r="D501" s="291"/>
      <c r="E501" s="291"/>
      <c r="F501" s="291"/>
      <c r="G501" s="291"/>
      <c r="H501" s="291"/>
      <c r="I501" s="291"/>
      <c r="J501" s="342"/>
    </row>
    <row r="502" spans="1:10" ht="12.75" customHeight="1">
      <c r="A502" s="356"/>
      <c r="B502" s="291"/>
      <c r="C502" s="291"/>
      <c r="D502" s="291"/>
      <c r="E502" s="291"/>
      <c r="F502" s="291"/>
      <c r="G502" s="291"/>
      <c r="H502" s="291"/>
      <c r="I502" s="291"/>
      <c r="J502" s="342"/>
    </row>
    <row r="503" spans="1:10" ht="12.75" customHeight="1">
      <c r="A503" s="356"/>
      <c r="B503" s="291"/>
      <c r="C503" s="291"/>
      <c r="D503" s="291"/>
      <c r="E503" s="291"/>
      <c r="F503" s="291"/>
      <c r="G503" s="291"/>
      <c r="H503" s="291"/>
      <c r="I503" s="291"/>
      <c r="J503" s="342"/>
    </row>
    <row r="504" spans="1:10" ht="12.75" customHeight="1">
      <c r="A504" s="356"/>
      <c r="B504" s="291"/>
      <c r="C504" s="291"/>
      <c r="D504" s="291"/>
      <c r="E504" s="291"/>
      <c r="F504" s="291"/>
      <c r="G504" s="291"/>
      <c r="H504" s="291"/>
      <c r="I504" s="291"/>
      <c r="J504" s="342"/>
    </row>
    <row r="505" spans="1:10" ht="12.75" customHeight="1">
      <c r="A505" s="356"/>
      <c r="B505" s="291"/>
      <c r="C505" s="291"/>
      <c r="D505" s="291"/>
      <c r="E505" s="291"/>
      <c r="F505" s="291"/>
      <c r="G505" s="291"/>
      <c r="H505" s="291"/>
      <c r="I505" s="291"/>
      <c r="J505" s="342"/>
    </row>
    <row r="506" spans="1:10" ht="12.75" customHeight="1">
      <c r="A506" s="356"/>
      <c r="B506" s="291"/>
      <c r="C506" s="291"/>
      <c r="D506" s="291"/>
      <c r="E506" s="291"/>
      <c r="F506" s="291"/>
      <c r="G506" s="291"/>
      <c r="H506" s="291"/>
      <c r="I506" s="291"/>
      <c r="J506" s="342"/>
    </row>
    <row r="507" spans="1:10" ht="12.75" customHeight="1">
      <c r="A507" s="356"/>
      <c r="B507" s="291"/>
      <c r="C507" s="291"/>
      <c r="D507" s="291"/>
      <c r="E507" s="291"/>
      <c r="F507" s="291"/>
      <c r="G507" s="291"/>
      <c r="H507" s="291"/>
      <c r="I507" s="291"/>
      <c r="J507" s="342"/>
    </row>
    <row r="508" spans="1:10" ht="12.75" customHeight="1">
      <c r="A508" s="356"/>
      <c r="B508" s="291"/>
      <c r="C508" s="291"/>
      <c r="D508" s="291"/>
      <c r="E508" s="291"/>
      <c r="F508" s="291"/>
      <c r="G508" s="291"/>
      <c r="H508" s="291"/>
      <c r="I508" s="291"/>
      <c r="J508" s="342"/>
    </row>
    <row r="509" spans="1:10" ht="12.75" customHeight="1">
      <c r="A509" s="356"/>
      <c r="B509" s="291"/>
      <c r="C509" s="291"/>
      <c r="D509" s="291"/>
      <c r="E509" s="291"/>
      <c r="F509" s="291"/>
      <c r="G509" s="291"/>
      <c r="H509" s="291"/>
      <c r="I509" s="291"/>
      <c r="J509" s="342"/>
    </row>
    <row r="510" spans="1:10" ht="12.75" customHeight="1">
      <c r="A510" s="356"/>
      <c r="B510" s="291"/>
      <c r="C510" s="291"/>
      <c r="D510" s="291"/>
      <c r="E510" s="291"/>
      <c r="F510" s="291"/>
      <c r="G510" s="291"/>
      <c r="H510" s="291"/>
      <c r="I510" s="291"/>
      <c r="J510" s="342"/>
    </row>
    <row r="511" spans="1:10" ht="12.75" customHeight="1">
      <c r="A511" s="356"/>
      <c r="B511" s="291"/>
      <c r="C511" s="291"/>
      <c r="D511" s="291"/>
      <c r="E511" s="291"/>
      <c r="F511" s="291"/>
      <c r="G511" s="291"/>
      <c r="H511" s="291"/>
      <c r="I511" s="291"/>
      <c r="J511" s="342"/>
    </row>
    <row r="512" spans="1:10" ht="12.75" customHeight="1">
      <c r="A512" s="356"/>
      <c r="B512" s="291"/>
      <c r="C512" s="291"/>
      <c r="D512" s="291"/>
      <c r="E512" s="291"/>
      <c r="F512" s="291"/>
      <c r="G512" s="291"/>
      <c r="H512" s="291"/>
      <c r="I512" s="291"/>
      <c r="J512" s="342"/>
    </row>
    <row r="513" spans="1:10" ht="12.75" customHeight="1">
      <c r="A513" s="356"/>
      <c r="B513" s="291"/>
      <c r="C513" s="291"/>
      <c r="D513" s="291"/>
      <c r="E513" s="291"/>
      <c r="F513" s="291"/>
      <c r="G513" s="291"/>
      <c r="H513" s="291"/>
      <c r="I513" s="291"/>
      <c r="J513" s="342"/>
    </row>
    <row r="514" spans="1:10" ht="12.75" customHeight="1">
      <c r="A514" s="356"/>
      <c r="B514" s="291"/>
      <c r="C514" s="291"/>
      <c r="D514" s="291"/>
      <c r="E514" s="291"/>
      <c r="F514" s="291"/>
      <c r="G514" s="291"/>
      <c r="H514" s="291"/>
      <c r="I514" s="291"/>
      <c r="J514" s="342"/>
    </row>
    <row r="515" spans="1:10" ht="12.75" customHeight="1">
      <c r="A515" s="356"/>
      <c r="B515" s="291"/>
      <c r="C515" s="291"/>
      <c r="D515" s="291"/>
      <c r="E515" s="291"/>
      <c r="F515" s="291"/>
      <c r="G515" s="291"/>
      <c r="H515" s="291"/>
      <c r="I515" s="291"/>
      <c r="J515" s="342"/>
    </row>
    <row r="516" spans="1:10" ht="12.75" customHeight="1">
      <c r="A516" s="356"/>
      <c r="B516" s="291"/>
      <c r="C516" s="291"/>
      <c r="D516" s="291"/>
      <c r="E516" s="291"/>
      <c r="F516" s="291"/>
      <c r="G516" s="291"/>
      <c r="H516" s="291"/>
      <c r="I516" s="291"/>
      <c r="J516" s="342"/>
    </row>
    <row r="517" spans="1:10" ht="12.75" customHeight="1">
      <c r="A517" s="356"/>
      <c r="B517" s="291"/>
      <c r="C517" s="291"/>
      <c r="D517" s="291"/>
      <c r="E517" s="291"/>
      <c r="F517" s="291"/>
      <c r="G517" s="291"/>
      <c r="H517" s="291"/>
      <c r="I517" s="291"/>
      <c r="J517" s="342"/>
    </row>
    <row r="518" spans="1:10" ht="12.75" customHeight="1">
      <c r="A518" s="356"/>
      <c r="B518" s="291"/>
      <c r="C518" s="291"/>
      <c r="D518" s="291"/>
      <c r="E518" s="291"/>
      <c r="F518" s="291"/>
      <c r="G518" s="291"/>
      <c r="H518" s="291"/>
      <c r="I518" s="291"/>
      <c r="J518" s="342"/>
    </row>
    <row r="519" spans="1:10" ht="12.75" customHeight="1">
      <c r="A519" s="353"/>
      <c r="B519" s="301"/>
      <c r="C519" s="301"/>
      <c r="D519" s="301"/>
      <c r="E519" s="301"/>
      <c r="F519" s="301"/>
      <c r="G519" s="301"/>
      <c r="H519" s="301"/>
      <c r="I519" s="301"/>
      <c r="J519" s="303"/>
    </row>
    <row r="520" spans="1:10" ht="12.75" customHeight="1"/>
    <row r="521" spans="1:10" ht="12.75" customHeight="1">
      <c r="A521" s="286" t="s">
        <v>69</v>
      </c>
      <c r="B521" s="287"/>
      <c r="C521" s="287"/>
      <c r="D521" s="287"/>
      <c r="E521" s="287"/>
      <c r="F521" s="287"/>
      <c r="G521" s="287"/>
      <c r="H521" s="288" t="str">
        <f>'[1]CONTACT INFORMATION'!$A$24</f>
        <v>San Francisco</v>
      </c>
      <c r="I521" s="287"/>
      <c r="J521" s="289"/>
    </row>
    <row r="522" spans="1:10" ht="7.5" customHeight="1">
      <c r="A522" s="154"/>
      <c r="B522" s="154"/>
      <c r="C522" s="154"/>
      <c r="D522" s="154"/>
      <c r="E522" s="154"/>
      <c r="F522" s="154"/>
      <c r="G522" s="154"/>
      <c r="H522" s="154"/>
      <c r="I522" s="154"/>
      <c r="J522" s="154"/>
    </row>
    <row r="523" spans="1:10" ht="12.75" customHeight="1">
      <c r="A523" s="310" t="s">
        <v>178</v>
      </c>
      <c r="B523" s="287"/>
      <c r="C523" s="287"/>
      <c r="D523" s="287"/>
      <c r="E523" s="287"/>
      <c r="F523" s="287"/>
      <c r="G523" s="287"/>
      <c r="H523" s="287"/>
      <c r="I523" s="287"/>
      <c r="J523" s="289"/>
    </row>
    <row r="524" spans="1:10" ht="12.75" customHeight="1">
      <c r="A524" s="311" t="s">
        <v>144</v>
      </c>
      <c r="B524" s="312"/>
      <c r="C524" s="312"/>
      <c r="D524" s="313"/>
      <c r="E524" s="354"/>
      <c r="F524" s="312"/>
      <c r="G524" s="312"/>
      <c r="H524" s="312"/>
      <c r="I524" s="312"/>
      <c r="J524" s="313"/>
    </row>
    <row r="525" spans="1:10" ht="12.75" customHeight="1">
      <c r="A525" s="320" t="s">
        <v>171</v>
      </c>
      <c r="B525" s="301"/>
      <c r="C525" s="301"/>
      <c r="D525" s="303"/>
      <c r="E525" s="353"/>
      <c r="F525" s="301"/>
      <c r="G525" s="301"/>
      <c r="H525" s="301"/>
      <c r="I525" s="301"/>
      <c r="J525" s="303"/>
    </row>
    <row r="526" spans="1:10" ht="12.75" customHeight="1">
      <c r="A526" s="296" t="s">
        <v>930</v>
      </c>
      <c r="B526" s="287"/>
      <c r="C526" s="287"/>
      <c r="D526" s="289"/>
      <c r="E526" s="321"/>
      <c r="F526" s="287"/>
      <c r="G526" s="287"/>
      <c r="H526" s="287"/>
      <c r="I526" s="287"/>
      <c r="J526" s="289"/>
    </row>
    <row r="527" spans="1:10" ht="27" customHeight="1">
      <c r="A527" s="153"/>
      <c r="B527" s="152"/>
      <c r="C527" s="152"/>
      <c r="D527" s="152"/>
      <c r="E527" s="300" t="s">
        <v>147</v>
      </c>
      <c r="F527" s="301"/>
      <c r="G527" s="300" t="s">
        <v>148</v>
      </c>
      <c r="H527" s="301"/>
      <c r="I527" s="302" t="s">
        <v>149</v>
      </c>
      <c r="J527" s="303"/>
    </row>
    <row r="528" spans="1:10" ht="12.75" customHeight="1">
      <c r="A528" s="297" t="s">
        <v>150</v>
      </c>
      <c r="B528" s="287"/>
      <c r="C528" s="287"/>
      <c r="D528" s="289"/>
      <c r="E528" s="298"/>
      <c r="F528" s="289"/>
      <c r="G528" s="298"/>
      <c r="H528" s="289"/>
      <c r="I528" s="299"/>
      <c r="J528" s="289"/>
    </row>
    <row r="529" spans="1:10" ht="12.75" customHeight="1">
      <c r="A529" s="305" t="s">
        <v>151</v>
      </c>
      <c r="B529" s="287"/>
      <c r="C529" s="287"/>
      <c r="D529" s="289"/>
      <c r="E529" s="306"/>
      <c r="F529" s="289"/>
      <c r="G529" s="322"/>
      <c r="H529" s="289"/>
      <c r="I529" s="323"/>
      <c r="J529" s="289"/>
    </row>
    <row r="530" spans="1:10" ht="12.75" customHeight="1">
      <c r="A530" s="297" t="s">
        <v>152</v>
      </c>
      <c r="B530" s="287"/>
      <c r="C530" s="287"/>
      <c r="D530" s="289"/>
      <c r="E530" s="298"/>
      <c r="F530" s="289"/>
      <c r="G530" s="298"/>
      <c r="H530" s="289"/>
      <c r="I530" s="299"/>
      <c r="J530" s="289"/>
    </row>
    <row r="531" spans="1:10" ht="12.75" customHeight="1">
      <c r="A531" s="305" t="s">
        <v>153</v>
      </c>
      <c r="B531" s="287"/>
      <c r="C531" s="287"/>
      <c r="D531" s="289"/>
      <c r="E531" s="306"/>
      <c r="F531" s="289"/>
      <c r="G531" s="322"/>
      <c r="H531" s="289"/>
      <c r="I531" s="323"/>
      <c r="J531" s="289"/>
    </row>
    <row r="532" spans="1:10" ht="12.75" customHeight="1">
      <c r="A532" s="297" t="s">
        <v>154</v>
      </c>
      <c r="B532" s="287"/>
      <c r="C532" s="287"/>
      <c r="D532" s="289"/>
      <c r="E532" s="298"/>
      <c r="F532" s="289"/>
      <c r="G532" s="298"/>
      <c r="H532" s="289"/>
      <c r="I532" s="299"/>
      <c r="J532" s="289"/>
    </row>
    <row r="533" spans="1:10" ht="12.75" customHeight="1">
      <c r="A533" s="305" t="s">
        <v>155</v>
      </c>
      <c r="B533" s="287"/>
      <c r="C533" s="287"/>
      <c r="D533" s="289"/>
      <c r="E533" s="306"/>
      <c r="F533" s="289"/>
      <c r="G533" s="322"/>
      <c r="H533" s="289"/>
      <c r="I533" s="323"/>
      <c r="J533" s="289"/>
    </row>
    <row r="534" spans="1:10" ht="12.75" customHeight="1">
      <c r="A534" s="297" t="s">
        <v>156</v>
      </c>
      <c r="B534" s="287"/>
      <c r="C534" s="287"/>
      <c r="D534" s="289"/>
      <c r="E534" s="325"/>
      <c r="F534" s="289"/>
      <c r="G534" s="325"/>
      <c r="H534" s="289"/>
      <c r="I534" s="326"/>
      <c r="J534" s="289"/>
    </row>
    <row r="535" spans="1:10" ht="12.75" customHeight="1">
      <c r="A535" s="324"/>
      <c r="B535" s="287"/>
      <c r="C535" s="287"/>
      <c r="D535" s="289"/>
      <c r="E535" s="306"/>
      <c r="F535" s="289"/>
      <c r="G535" s="322"/>
      <c r="H535" s="289"/>
      <c r="I535" s="322"/>
      <c r="J535" s="289"/>
    </row>
    <row r="536" spans="1:10" ht="12.75" customHeight="1">
      <c r="A536" s="324"/>
      <c r="B536" s="287"/>
      <c r="C536" s="287"/>
      <c r="D536" s="289"/>
      <c r="E536" s="306"/>
      <c r="F536" s="289"/>
      <c r="G536" s="322"/>
      <c r="H536" s="289"/>
      <c r="I536" s="322"/>
      <c r="J536" s="289"/>
    </row>
    <row r="537" spans="1:10" ht="12.75" customHeight="1">
      <c r="A537" s="324"/>
      <c r="B537" s="287"/>
      <c r="C537" s="287"/>
      <c r="D537" s="289"/>
      <c r="E537" s="306"/>
      <c r="F537" s="289"/>
      <c r="G537" s="322"/>
      <c r="H537" s="289"/>
      <c r="I537" s="322"/>
      <c r="J537" s="289"/>
    </row>
    <row r="538" spans="1:10" ht="12.75" customHeight="1">
      <c r="A538" s="337" t="s">
        <v>157</v>
      </c>
      <c r="B538" s="287"/>
      <c r="C538" s="287"/>
      <c r="D538" s="289"/>
      <c r="E538" s="338">
        <f>SUM(E528:E537)</f>
        <v>0</v>
      </c>
      <c r="F538" s="289"/>
      <c r="G538" s="338">
        <f>SUM(G528:G537)</f>
        <v>0</v>
      </c>
      <c r="H538" s="289"/>
      <c r="I538" s="338">
        <f>SUM(I528:I537)</f>
        <v>0</v>
      </c>
      <c r="J538" s="289"/>
    </row>
    <row r="539" spans="1:10" ht="12.75" customHeight="1">
      <c r="A539" s="339" t="s">
        <v>158</v>
      </c>
      <c r="B539" s="312"/>
      <c r="C539" s="312"/>
      <c r="D539" s="312"/>
      <c r="E539" s="312"/>
      <c r="F539" s="312"/>
      <c r="G539" s="312"/>
      <c r="H539" s="312"/>
      <c r="I539" s="312"/>
      <c r="J539" s="313"/>
    </row>
    <row r="540" spans="1:10" ht="12.75" customHeight="1">
      <c r="A540" s="340" t="s">
        <v>159</v>
      </c>
      <c r="B540" s="341"/>
      <c r="C540" s="341"/>
      <c r="D540" s="341"/>
      <c r="E540" s="341"/>
      <c r="F540" s="341"/>
      <c r="G540" s="341"/>
      <c r="H540" s="341"/>
      <c r="I540" s="341"/>
      <c r="J540" s="342"/>
    </row>
    <row r="541" spans="1:10" ht="12.75" customHeight="1">
      <c r="A541" s="340" t="s">
        <v>160</v>
      </c>
      <c r="B541" s="341"/>
      <c r="C541" s="341"/>
      <c r="D541" s="341"/>
      <c r="E541" s="341"/>
      <c r="F541" s="341"/>
      <c r="G541" s="341"/>
      <c r="H541" s="341"/>
      <c r="I541" s="341"/>
      <c r="J541" s="342"/>
    </row>
    <row r="542" spans="1:10" ht="12.75" customHeight="1">
      <c r="A542" s="336" t="s">
        <v>161</v>
      </c>
      <c r="B542" s="301"/>
      <c r="C542" s="301"/>
      <c r="D542" s="301"/>
      <c r="E542" s="301"/>
      <c r="F542" s="301"/>
      <c r="G542" s="301"/>
      <c r="H542" s="301"/>
      <c r="I542" s="301"/>
      <c r="J542" s="303"/>
    </row>
    <row r="543" spans="1:10" ht="12.75" customHeight="1">
      <c r="A543" s="355"/>
      <c r="B543" s="312"/>
      <c r="C543" s="312"/>
      <c r="D543" s="312"/>
      <c r="E543" s="312"/>
      <c r="F543" s="312"/>
      <c r="G543" s="312"/>
      <c r="H543" s="312"/>
      <c r="I543" s="312"/>
      <c r="J543" s="313"/>
    </row>
    <row r="544" spans="1:10" ht="12.75" customHeight="1">
      <c r="A544" s="356"/>
      <c r="B544" s="291"/>
      <c r="C544" s="291"/>
      <c r="D544" s="291"/>
      <c r="E544" s="291"/>
      <c r="F544" s="291"/>
      <c r="G544" s="291"/>
      <c r="H544" s="291"/>
      <c r="I544" s="291"/>
      <c r="J544" s="342"/>
    </row>
    <row r="545" spans="1:10" ht="12.75" customHeight="1">
      <c r="A545" s="356"/>
      <c r="B545" s="291"/>
      <c r="C545" s="291"/>
      <c r="D545" s="291"/>
      <c r="E545" s="291"/>
      <c r="F545" s="291"/>
      <c r="G545" s="291"/>
      <c r="H545" s="291"/>
      <c r="I545" s="291"/>
      <c r="J545" s="342"/>
    </row>
    <row r="546" spans="1:10" ht="12.75" customHeight="1">
      <c r="A546" s="356"/>
      <c r="B546" s="291"/>
      <c r="C546" s="291"/>
      <c r="D546" s="291"/>
      <c r="E546" s="291"/>
      <c r="F546" s="291"/>
      <c r="G546" s="291"/>
      <c r="H546" s="291"/>
      <c r="I546" s="291"/>
      <c r="J546" s="342"/>
    </row>
    <row r="547" spans="1:10" ht="12.75" customHeight="1">
      <c r="A547" s="356"/>
      <c r="B547" s="291"/>
      <c r="C547" s="291"/>
      <c r="D547" s="291"/>
      <c r="E547" s="291"/>
      <c r="F547" s="291"/>
      <c r="G547" s="291"/>
      <c r="H547" s="291"/>
      <c r="I547" s="291"/>
      <c r="J547" s="342"/>
    </row>
    <row r="548" spans="1:10" ht="12.75" customHeight="1">
      <c r="A548" s="356"/>
      <c r="B548" s="291"/>
      <c r="C548" s="291"/>
      <c r="D548" s="291"/>
      <c r="E548" s="291"/>
      <c r="F548" s="291"/>
      <c r="G548" s="291"/>
      <c r="H548" s="291"/>
      <c r="I548" s="291"/>
      <c r="J548" s="342"/>
    </row>
    <row r="549" spans="1:10" ht="12.75" customHeight="1">
      <c r="A549" s="356"/>
      <c r="B549" s="291"/>
      <c r="C549" s="291"/>
      <c r="D549" s="291"/>
      <c r="E549" s="291"/>
      <c r="F549" s="291"/>
      <c r="G549" s="291"/>
      <c r="H549" s="291"/>
      <c r="I549" s="291"/>
      <c r="J549" s="342"/>
    </row>
    <row r="550" spans="1:10" ht="12.75" customHeight="1">
      <c r="A550" s="356"/>
      <c r="B550" s="291"/>
      <c r="C550" s="291"/>
      <c r="D550" s="291"/>
      <c r="E550" s="291"/>
      <c r="F550" s="291"/>
      <c r="G550" s="291"/>
      <c r="H550" s="291"/>
      <c r="I550" s="291"/>
      <c r="J550" s="342"/>
    </row>
    <row r="551" spans="1:10" ht="12.75" customHeight="1">
      <c r="A551" s="356"/>
      <c r="B551" s="291"/>
      <c r="C551" s="291"/>
      <c r="D551" s="291"/>
      <c r="E551" s="291"/>
      <c r="F551" s="291"/>
      <c r="G551" s="291"/>
      <c r="H551" s="291"/>
      <c r="I551" s="291"/>
      <c r="J551" s="342"/>
    </row>
    <row r="552" spans="1:10" ht="12.75" customHeight="1">
      <c r="A552" s="356"/>
      <c r="B552" s="291"/>
      <c r="C552" s="291"/>
      <c r="D552" s="291"/>
      <c r="E552" s="291"/>
      <c r="F552" s="291"/>
      <c r="G552" s="291"/>
      <c r="H552" s="291"/>
      <c r="I552" s="291"/>
      <c r="J552" s="342"/>
    </row>
    <row r="553" spans="1:10" ht="12.75" customHeight="1">
      <c r="A553" s="356"/>
      <c r="B553" s="291"/>
      <c r="C553" s="291"/>
      <c r="D553" s="291"/>
      <c r="E553" s="291"/>
      <c r="F553" s="291"/>
      <c r="G553" s="291"/>
      <c r="H553" s="291"/>
      <c r="I553" s="291"/>
      <c r="J553" s="342"/>
    </row>
    <row r="554" spans="1:10" ht="12.75" customHeight="1">
      <c r="A554" s="356"/>
      <c r="B554" s="291"/>
      <c r="C554" s="291"/>
      <c r="D554" s="291"/>
      <c r="E554" s="291"/>
      <c r="F554" s="291"/>
      <c r="G554" s="291"/>
      <c r="H554" s="291"/>
      <c r="I554" s="291"/>
      <c r="J554" s="342"/>
    </row>
    <row r="555" spans="1:10" ht="12.75" customHeight="1">
      <c r="A555" s="356"/>
      <c r="B555" s="291"/>
      <c r="C555" s="291"/>
      <c r="D555" s="291"/>
      <c r="E555" s="291"/>
      <c r="F555" s="291"/>
      <c r="G555" s="291"/>
      <c r="H555" s="291"/>
      <c r="I555" s="291"/>
      <c r="J555" s="342"/>
    </row>
    <row r="556" spans="1:10" ht="12.75" customHeight="1">
      <c r="A556" s="356"/>
      <c r="B556" s="291"/>
      <c r="C556" s="291"/>
      <c r="D556" s="291"/>
      <c r="E556" s="291"/>
      <c r="F556" s="291"/>
      <c r="G556" s="291"/>
      <c r="H556" s="291"/>
      <c r="I556" s="291"/>
      <c r="J556" s="342"/>
    </row>
    <row r="557" spans="1:10" ht="12.75" customHeight="1">
      <c r="A557" s="356"/>
      <c r="B557" s="291"/>
      <c r="C557" s="291"/>
      <c r="D557" s="291"/>
      <c r="E557" s="291"/>
      <c r="F557" s="291"/>
      <c r="G557" s="291"/>
      <c r="H557" s="291"/>
      <c r="I557" s="291"/>
      <c r="J557" s="342"/>
    </row>
    <row r="558" spans="1:10" ht="12.75" customHeight="1">
      <c r="A558" s="356"/>
      <c r="B558" s="291"/>
      <c r="C558" s="291"/>
      <c r="D558" s="291"/>
      <c r="E558" s="291"/>
      <c r="F558" s="291"/>
      <c r="G558" s="291"/>
      <c r="H558" s="291"/>
      <c r="I558" s="291"/>
      <c r="J558" s="342"/>
    </row>
    <row r="559" spans="1:10" ht="12.75" customHeight="1">
      <c r="A559" s="356"/>
      <c r="B559" s="291"/>
      <c r="C559" s="291"/>
      <c r="D559" s="291"/>
      <c r="E559" s="291"/>
      <c r="F559" s="291"/>
      <c r="G559" s="291"/>
      <c r="H559" s="291"/>
      <c r="I559" s="291"/>
      <c r="J559" s="342"/>
    </row>
    <row r="560" spans="1:10" ht="12.75" customHeight="1">
      <c r="A560" s="356"/>
      <c r="B560" s="291"/>
      <c r="C560" s="291"/>
      <c r="D560" s="291"/>
      <c r="E560" s="291"/>
      <c r="F560" s="291"/>
      <c r="G560" s="291"/>
      <c r="H560" s="291"/>
      <c r="I560" s="291"/>
      <c r="J560" s="342"/>
    </row>
    <row r="561" spans="1:10" ht="12.75" customHeight="1">
      <c r="A561" s="356"/>
      <c r="B561" s="291"/>
      <c r="C561" s="291"/>
      <c r="D561" s="291"/>
      <c r="E561" s="291"/>
      <c r="F561" s="291"/>
      <c r="G561" s="291"/>
      <c r="H561" s="291"/>
      <c r="I561" s="291"/>
      <c r="J561" s="342"/>
    </row>
    <row r="562" spans="1:10" ht="12.75" customHeight="1">
      <c r="A562" s="356"/>
      <c r="B562" s="291"/>
      <c r="C562" s="291"/>
      <c r="D562" s="291"/>
      <c r="E562" s="291"/>
      <c r="F562" s="291"/>
      <c r="G562" s="291"/>
      <c r="H562" s="291"/>
      <c r="I562" s="291"/>
      <c r="J562" s="342"/>
    </row>
    <row r="563" spans="1:10" ht="12.75" customHeight="1">
      <c r="A563" s="356"/>
      <c r="B563" s="291"/>
      <c r="C563" s="291"/>
      <c r="D563" s="291"/>
      <c r="E563" s="291"/>
      <c r="F563" s="291"/>
      <c r="G563" s="291"/>
      <c r="H563" s="291"/>
      <c r="I563" s="291"/>
      <c r="J563" s="342"/>
    </row>
    <row r="564" spans="1:10" ht="12.75" customHeight="1">
      <c r="A564" s="356"/>
      <c r="B564" s="291"/>
      <c r="C564" s="291"/>
      <c r="D564" s="291"/>
      <c r="E564" s="291"/>
      <c r="F564" s="291"/>
      <c r="G564" s="291"/>
      <c r="H564" s="291"/>
      <c r="I564" s="291"/>
      <c r="J564" s="342"/>
    </row>
    <row r="565" spans="1:10" ht="12.75" customHeight="1">
      <c r="A565" s="356"/>
      <c r="B565" s="291"/>
      <c r="C565" s="291"/>
      <c r="D565" s="291"/>
      <c r="E565" s="291"/>
      <c r="F565" s="291"/>
      <c r="G565" s="291"/>
      <c r="H565" s="291"/>
      <c r="I565" s="291"/>
      <c r="J565" s="342"/>
    </row>
    <row r="566" spans="1:10" ht="12.75" customHeight="1">
      <c r="A566" s="356"/>
      <c r="B566" s="291"/>
      <c r="C566" s="291"/>
      <c r="D566" s="291"/>
      <c r="E566" s="291"/>
      <c r="F566" s="291"/>
      <c r="G566" s="291"/>
      <c r="H566" s="291"/>
      <c r="I566" s="291"/>
      <c r="J566" s="342"/>
    </row>
    <row r="567" spans="1:10" ht="12.75" customHeight="1">
      <c r="A567" s="356"/>
      <c r="B567" s="291"/>
      <c r="C567" s="291"/>
      <c r="D567" s="291"/>
      <c r="E567" s="291"/>
      <c r="F567" s="291"/>
      <c r="G567" s="291"/>
      <c r="H567" s="291"/>
      <c r="I567" s="291"/>
      <c r="J567" s="342"/>
    </row>
    <row r="568" spans="1:10" ht="12.75" customHeight="1">
      <c r="A568" s="356"/>
      <c r="B568" s="291"/>
      <c r="C568" s="291"/>
      <c r="D568" s="291"/>
      <c r="E568" s="291"/>
      <c r="F568" s="291"/>
      <c r="G568" s="291"/>
      <c r="H568" s="291"/>
      <c r="I568" s="291"/>
      <c r="J568" s="342"/>
    </row>
    <row r="569" spans="1:10" ht="12.75" customHeight="1">
      <c r="A569" s="356"/>
      <c r="B569" s="291"/>
      <c r="C569" s="291"/>
      <c r="D569" s="291"/>
      <c r="E569" s="291"/>
      <c r="F569" s="291"/>
      <c r="G569" s="291"/>
      <c r="H569" s="291"/>
      <c r="I569" s="291"/>
      <c r="J569" s="342"/>
    </row>
    <row r="570" spans="1:10" ht="12.75" customHeight="1">
      <c r="A570" s="356"/>
      <c r="B570" s="291"/>
      <c r="C570" s="291"/>
      <c r="D570" s="291"/>
      <c r="E570" s="291"/>
      <c r="F570" s="291"/>
      <c r="G570" s="291"/>
      <c r="H570" s="291"/>
      <c r="I570" s="291"/>
      <c r="J570" s="342"/>
    </row>
    <row r="571" spans="1:10" ht="12.75" customHeight="1">
      <c r="A571" s="356"/>
      <c r="B571" s="291"/>
      <c r="C571" s="291"/>
      <c r="D571" s="291"/>
      <c r="E571" s="291"/>
      <c r="F571" s="291"/>
      <c r="G571" s="291"/>
      <c r="H571" s="291"/>
      <c r="I571" s="291"/>
      <c r="J571" s="342"/>
    </row>
    <row r="572" spans="1:10" ht="12.75" customHeight="1">
      <c r="A572" s="356"/>
      <c r="B572" s="291"/>
      <c r="C572" s="291"/>
      <c r="D572" s="291"/>
      <c r="E572" s="291"/>
      <c r="F572" s="291"/>
      <c r="G572" s="291"/>
      <c r="H572" s="291"/>
      <c r="I572" s="291"/>
      <c r="J572" s="342"/>
    </row>
    <row r="573" spans="1:10" ht="12.75" customHeight="1">
      <c r="A573" s="356"/>
      <c r="B573" s="291"/>
      <c r="C573" s="291"/>
      <c r="D573" s="291"/>
      <c r="E573" s="291"/>
      <c r="F573" s="291"/>
      <c r="G573" s="291"/>
      <c r="H573" s="291"/>
      <c r="I573" s="291"/>
      <c r="J573" s="342"/>
    </row>
    <row r="574" spans="1:10" ht="12.75" customHeight="1">
      <c r="A574" s="356"/>
      <c r="B574" s="291"/>
      <c r="C574" s="291"/>
      <c r="D574" s="291"/>
      <c r="E574" s="291"/>
      <c r="F574" s="291"/>
      <c r="G574" s="291"/>
      <c r="H574" s="291"/>
      <c r="I574" s="291"/>
      <c r="J574" s="342"/>
    </row>
    <row r="575" spans="1:10" ht="12.75" customHeight="1">
      <c r="A575" s="356"/>
      <c r="B575" s="291"/>
      <c r="C575" s="291"/>
      <c r="D575" s="291"/>
      <c r="E575" s="291"/>
      <c r="F575" s="291"/>
      <c r="G575" s="291"/>
      <c r="H575" s="291"/>
      <c r="I575" s="291"/>
      <c r="J575" s="342"/>
    </row>
    <row r="576" spans="1:10" ht="12.75" customHeight="1">
      <c r="A576" s="356"/>
      <c r="B576" s="291"/>
      <c r="C576" s="291"/>
      <c r="D576" s="291"/>
      <c r="E576" s="291"/>
      <c r="F576" s="291"/>
      <c r="G576" s="291"/>
      <c r="H576" s="291"/>
      <c r="I576" s="291"/>
      <c r="J576" s="342"/>
    </row>
    <row r="577" spans="1:10" ht="12.75" customHeight="1">
      <c r="A577" s="353"/>
      <c r="B577" s="301"/>
      <c r="C577" s="301"/>
      <c r="D577" s="301"/>
      <c r="E577" s="301"/>
      <c r="F577" s="301"/>
      <c r="G577" s="301"/>
      <c r="H577" s="301"/>
      <c r="I577" s="301"/>
      <c r="J577" s="303"/>
    </row>
    <row r="578" spans="1:10" ht="12.75" customHeight="1"/>
    <row r="579" spans="1:10" ht="12.75" customHeight="1">
      <c r="A579" s="286" t="s">
        <v>69</v>
      </c>
      <c r="B579" s="287"/>
      <c r="C579" s="287"/>
      <c r="D579" s="287"/>
      <c r="E579" s="287"/>
      <c r="F579" s="287"/>
      <c r="G579" s="287"/>
      <c r="H579" s="288" t="str">
        <f>'[1]CONTACT INFORMATION'!$A$24</f>
        <v>San Francisco</v>
      </c>
      <c r="I579" s="287"/>
      <c r="J579" s="289"/>
    </row>
    <row r="580" spans="1:10" ht="7.5" customHeight="1">
      <c r="A580" s="154"/>
      <c r="B580" s="154"/>
      <c r="C580" s="154"/>
      <c r="D580" s="154"/>
      <c r="E580" s="154"/>
      <c r="F580" s="154"/>
      <c r="G580" s="154"/>
      <c r="H580" s="154"/>
      <c r="I580" s="154"/>
      <c r="J580" s="154"/>
    </row>
    <row r="581" spans="1:10" ht="12.75" customHeight="1">
      <c r="A581" s="310" t="s">
        <v>179</v>
      </c>
      <c r="B581" s="287"/>
      <c r="C581" s="287"/>
      <c r="D581" s="287"/>
      <c r="E581" s="287"/>
      <c r="F581" s="287"/>
      <c r="G581" s="287"/>
      <c r="H581" s="287"/>
      <c r="I581" s="287"/>
      <c r="J581" s="289"/>
    </row>
    <row r="582" spans="1:10" ht="12.75" customHeight="1">
      <c r="A582" s="311" t="s">
        <v>144</v>
      </c>
      <c r="B582" s="312"/>
      <c r="C582" s="312"/>
      <c r="D582" s="313"/>
      <c r="E582" s="354"/>
      <c r="F582" s="312"/>
      <c r="G582" s="312"/>
      <c r="H582" s="312"/>
      <c r="I582" s="312"/>
      <c r="J582" s="313"/>
    </row>
    <row r="583" spans="1:10" ht="12.75" customHeight="1">
      <c r="A583" s="320" t="s">
        <v>171</v>
      </c>
      <c r="B583" s="301"/>
      <c r="C583" s="301"/>
      <c r="D583" s="303"/>
      <c r="E583" s="353"/>
      <c r="F583" s="301"/>
      <c r="G583" s="301"/>
      <c r="H583" s="301"/>
      <c r="I583" s="301"/>
      <c r="J583" s="303"/>
    </row>
    <row r="584" spans="1:10" ht="12.75" customHeight="1">
      <c r="A584" s="296" t="s">
        <v>930</v>
      </c>
      <c r="B584" s="287"/>
      <c r="C584" s="287"/>
      <c r="D584" s="289"/>
      <c r="E584" s="321"/>
      <c r="F584" s="287"/>
      <c r="G584" s="287"/>
      <c r="H584" s="287"/>
      <c r="I584" s="287"/>
      <c r="J584" s="289"/>
    </row>
    <row r="585" spans="1:10" ht="27" customHeight="1">
      <c r="A585" s="153"/>
      <c r="B585" s="152"/>
      <c r="C585" s="152"/>
      <c r="D585" s="152"/>
      <c r="E585" s="300" t="s">
        <v>147</v>
      </c>
      <c r="F585" s="301"/>
      <c r="G585" s="300" t="s">
        <v>148</v>
      </c>
      <c r="H585" s="301"/>
      <c r="I585" s="302" t="s">
        <v>149</v>
      </c>
      <c r="J585" s="303"/>
    </row>
    <row r="586" spans="1:10" ht="12.75" customHeight="1">
      <c r="A586" s="297" t="s">
        <v>150</v>
      </c>
      <c r="B586" s="287"/>
      <c r="C586" s="287"/>
      <c r="D586" s="289"/>
      <c r="E586" s="298"/>
      <c r="F586" s="289"/>
      <c r="G586" s="298"/>
      <c r="H586" s="289"/>
      <c r="I586" s="299"/>
      <c r="J586" s="289"/>
    </row>
    <row r="587" spans="1:10" ht="12.75" customHeight="1">
      <c r="A587" s="305" t="s">
        <v>151</v>
      </c>
      <c r="B587" s="287"/>
      <c r="C587" s="287"/>
      <c r="D587" s="289"/>
      <c r="E587" s="306"/>
      <c r="F587" s="289"/>
      <c r="G587" s="322"/>
      <c r="H587" s="289"/>
      <c r="I587" s="323"/>
      <c r="J587" s="289"/>
    </row>
    <row r="588" spans="1:10" ht="12.75" customHeight="1">
      <c r="A588" s="297" t="s">
        <v>152</v>
      </c>
      <c r="B588" s="287"/>
      <c r="C588" s="287"/>
      <c r="D588" s="289"/>
      <c r="E588" s="298"/>
      <c r="F588" s="289"/>
      <c r="G588" s="298"/>
      <c r="H588" s="289"/>
      <c r="I588" s="299"/>
      <c r="J588" s="289"/>
    </row>
    <row r="589" spans="1:10" ht="12.75" customHeight="1">
      <c r="A589" s="305" t="s">
        <v>153</v>
      </c>
      <c r="B589" s="287"/>
      <c r="C589" s="287"/>
      <c r="D589" s="289"/>
      <c r="E589" s="306"/>
      <c r="F589" s="289"/>
      <c r="G589" s="322"/>
      <c r="H589" s="289"/>
      <c r="I589" s="323"/>
      <c r="J589" s="289"/>
    </row>
    <row r="590" spans="1:10" ht="12.75" customHeight="1">
      <c r="A590" s="297" t="s">
        <v>154</v>
      </c>
      <c r="B590" s="287"/>
      <c r="C590" s="287"/>
      <c r="D590" s="289"/>
      <c r="E590" s="298"/>
      <c r="F590" s="289"/>
      <c r="G590" s="298"/>
      <c r="H590" s="289"/>
      <c r="I590" s="299"/>
      <c r="J590" s="289"/>
    </row>
    <row r="591" spans="1:10" ht="12.75" customHeight="1">
      <c r="A591" s="305" t="s">
        <v>155</v>
      </c>
      <c r="B591" s="287"/>
      <c r="C591" s="287"/>
      <c r="D591" s="289"/>
      <c r="E591" s="306"/>
      <c r="F591" s="289"/>
      <c r="G591" s="322"/>
      <c r="H591" s="289"/>
      <c r="I591" s="323"/>
      <c r="J591" s="289"/>
    </row>
    <row r="592" spans="1:10" ht="12.75" customHeight="1">
      <c r="A592" s="297" t="s">
        <v>156</v>
      </c>
      <c r="B592" s="287"/>
      <c r="C592" s="287"/>
      <c r="D592" s="289"/>
      <c r="E592" s="325"/>
      <c r="F592" s="289"/>
      <c r="G592" s="325"/>
      <c r="H592" s="289"/>
      <c r="I592" s="326"/>
      <c r="J592" s="289"/>
    </row>
    <row r="593" spans="1:10" ht="12.75" customHeight="1">
      <c r="A593" s="324"/>
      <c r="B593" s="287"/>
      <c r="C593" s="287"/>
      <c r="D593" s="289"/>
      <c r="E593" s="306"/>
      <c r="F593" s="289"/>
      <c r="G593" s="322"/>
      <c r="H593" s="289"/>
      <c r="I593" s="322"/>
      <c r="J593" s="289"/>
    </row>
    <row r="594" spans="1:10" ht="12.75" customHeight="1">
      <c r="A594" s="324"/>
      <c r="B594" s="287"/>
      <c r="C594" s="287"/>
      <c r="D594" s="289"/>
      <c r="E594" s="306"/>
      <c r="F594" s="289"/>
      <c r="G594" s="322"/>
      <c r="H594" s="289"/>
      <c r="I594" s="322"/>
      <c r="J594" s="289"/>
    </row>
    <row r="595" spans="1:10" ht="12.75" customHeight="1">
      <c r="A595" s="324"/>
      <c r="B595" s="287"/>
      <c r="C595" s="287"/>
      <c r="D595" s="289"/>
      <c r="E595" s="306"/>
      <c r="F595" s="289"/>
      <c r="G595" s="322"/>
      <c r="H595" s="289"/>
      <c r="I595" s="322"/>
      <c r="J595" s="289"/>
    </row>
    <row r="596" spans="1:10" ht="12.75" customHeight="1">
      <c r="A596" s="337" t="s">
        <v>157</v>
      </c>
      <c r="B596" s="287"/>
      <c r="C596" s="287"/>
      <c r="D596" s="289"/>
      <c r="E596" s="338">
        <f>SUM(E586:E595)</f>
        <v>0</v>
      </c>
      <c r="F596" s="289"/>
      <c r="G596" s="338">
        <f>SUM(G586:G595)</f>
        <v>0</v>
      </c>
      <c r="H596" s="289"/>
      <c r="I596" s="338">
        <f>SUM(I586:I595)</f>
        <v>0</v>
      </c>
      <c r="J596" s="289"/>
    </row>
    <row r="597" spans="1:10" ht="12.75" customHeight="1">
      <c r="A597" s="339" t="s">
        <v>158</v>
      </c>
      <c r="B597" s="312"/>
      <c r="C597" s="312"/>
      <c r="D597" s="312"/>
      <c r="E597" s="312"/>
      <c r="F597" s="312"/>
      <c r="G597" s="312"/>
      <c r="H597" s="312"/>
      <c r="I597" s="312"/>
      <c r="J597" s="313"/>
    </row>
    <row r="598" spans="1:10" ht="12.75" customHeight="1">
      <c r="A598" s="340" t="s">
        <v>159</v>
      </c>
      <c r="B598" s="341"/>
      <c r="C598" s="341"/>
      <c r="D598" s="341"/>
      <c r="E598" s="341"/>
      <c r="F598" s="341"/>
      <c r="G598" s="341"/>
      <c r="H598" s="341"/>
      <c r="I598" s="341"/>
      <c r="J598" s="342"/>
    </row>
    <row r="599" spans="1:10" ht="12.75" customHeight="1">
      <c r="A599" s="340" t="s">
        <v>160</v>
      </c>
      <c r="B599" s="341"/>
      <c r="C599" s="341"/>
      <c r="D599" s="341"/>
      <c r="E599" s="341"/>
      <c r="F599" s="341"/>
      <c r="G599" s="341"/>
      <c r="H599" s="341"/>
      <c r="I599" s="341"/>
      <c r="J599" s="342"/>
    </row>
    <row r="600" spans="1:10" ht="12.75" customHeight="1">
      <c r="A600" s="336" t="s">
        <v>161</v>
      </c>
      <c r="B600" s="301"/>
      <c r="C600" s="301"/>
      <c r="D600" s="301"/>
      <c r="E600" s="301"/>
      <c r="F600" s="301"/>
      <c r="G600" s="301"/>
      <c r="H600" s="301"/>
      <c r="I600" s="301"/>
      <c r="J600" s="303"/>
    </row>
    <row r="601" spans="1:10" ht="12.75" customHeight="1">
      <c r="A601" s="355"/>
      <c r="B601" s="312"/>
      <c r="C601" s="312"/>
      <c r="D601" s="312"/>
      <c r="E601" s="312"/>
      <c r="F601" s="312"/>
      <c r="G601" s="312"/>
      <c r="H601" s="312"/>
      <c r="I601" s="312"/>
      <c r="J601" s="313"/>
    </row>
    <row r="602" spans="1:10" ht="12.75" customHeight="1">
      <c r="A602" s="356"/>
      <c r="B602" s="291"/>
      <c r="C602" s="291"/>
      <c r="D602" s="291"/>
      <c r="E602" s="291"/>
      <c r="F602" s="291"/>
      <c r="G602" s="291"/>
      <c r="H602" s="291"/>
      <c r="I602" s="291"/>
      <c r="J602" s="342"/>
    </row>
    <row r="603" spans="1:10" ht="12.75" customHeight="1">
      <c r="A603" s="356"/>
      <c r="B603" s="291"/>
      <c r="C603" s="291"/>
      <c r="D603" s="291"/>
      <c r="E603" s="291"/>
      <c r="F603" s="291"/>
      <c r="G603" s="291"/>
      <c r="H603" s="291"/>
      <c r="I603" s="291"/>
      <c r="J603" s="342"/>
    </row>
    <row r="604" spans="1:10" ht="12.75" customHeight="1">
      <c r="A604" s="356"/>
      <c r="B604" s="291"/>
      <c r="C604" s="291"/>
      <c r="D604" s="291"/>
      <c r="E604" s="291"/>
      <c r="F604" s="291"/>
      <c r="G604" s="291"/>
      <c r="H604" s="291"/>
      <c r="I604" s="291"/>
      <c r="J604" s="342"/>
    </row>
    <row r="605" spans="1:10" ht="12.75" customHeight="1">
      <c r="A605" s="356"/>
      <c r="B605" s="291"/>
      <c r="C605" s="291"/>
      <c r="D605" s="291"/>
      <c r="E605" s="291"/>
      <c r="F605" s="291"/>
      <c r="G605" s="291"/>
      <c r="H605" s="291"/>
      <c r="I605" s="291"/>
      <c r="J605" s="342"/>
    </row>
    <row r="606" spans="1:10" ht="12.75" customHeight="1">
      <c r="A606" s="356"/>
      <c r="B606" s="291"/>
      <c r="C606" s="291"/>
      <c r="D606" s="291"/>
      <c r="E606" s="291"/>
      <c r="F606" s="291"/>
      <c r="G606" s="291"/>
      <c r="H606" s="291"/>
      <c r="I606" s="291"/>
      <c r="J606" s="342"/>
    </row>
    <row r="607" spans="1:10" ht="12.75" customHeight="1">
      <c r="A607" s="356"/>
      <c r="B607" s="291"/>
      <c r="C607" s="291"/>
      <c r="D607" s="291"/>
      <c r="E607" s="291"/>
      <c r="F607" s="291"/>
      <c r="G607" s="291"/>
      <c r="H607" s="291"/>
      <c r="I607" s="291"/>
      <c r="J607" s="342"/>
    </row>
    <row r="608" spans="1:10" ht="12.75" customHeight="1">
      <c r="A608" s="356"/>
      <c r="B608" s="291"/>
      <c r="C608" s="291"/>
      <c r="D608" s="291"/>
      <c r="E608" s="291"/>
      <c r="F608" s="291"/>
      <c r="G608" s="291"/>
      <c r="H608" s="291"/>
      <c r="I608" s="291"/>
      <c r="J608" s="342"/>
    </row>
    <row r="609" spans="1:10" ht="12.75" customHeight="1">
      <c r="A609" s="356"/>
      <c r="B609" s="291"/>
      <c r="C609" s="291"/>
      <c r="D609" s="291"/>
      <c r="E609" s="291"/>
      <c r="F609" s="291"/>
      <c r="G609" s="291"/>
      <c r="H609" s="291"/>
      <c r="I609" s="291"/>
      <c r="J609" s="342"/>
    </row>
    <row r="610" spans="1:10" ht="12.75" customHeight="1">
      <c r="A610" s="356"/>
      <c r="B610" s="291"/>
      <c r="C610" s="291"/>
      <c r="D610" s="291"/>
      <c r="E610" s="291"/>
      <c r="F610" s="291"/>
      <c r="G610" s="291"/>
      <c r="H610" s="291"/>
      <c r="I610" s="291"/>
      <c r="J610" s="342"/>
    </row>
    <row r="611" spans="1:10" ht="12.75" customHeight="1">
      <c r="A611" s="356"/>
      <c r="B611" s="291"/>
      <c r="C611" s="291"/>
      <c r="D611" s="291"/>
      <c r="E611" s="291"/>
      <c r="F611" s="291"/>
      <c r="G611" s="291"/>
      <c r="H611" s="291"/>
      <c r="I611" s="291"/>
      <c r="J611" s="342"/>
    </row>
    <row r="612" spans="1:10" ht="12.75" customHeight="1">
      <c r="A612" s="356"/>
      <c r="B612" s="291"/>
      <c r="C612" s="291"/>
      <c r="D612" s="291"/>
      <c r="E612" s="291"/>
      <c r="F612" s="291"/>
      <c r="G612" s="291"/>
      <c r="H612" s="291"/>
      <c r="I612" s="291"/>
      <c r="J612" s="342"/>
    </row>
    <row r="613" spans="1:10" ht="12.75" customHeight="1">
      <c r="A613" s="356"/>
      <c r="B613" s="291"/>
      <c r="C613" s="291"/>
      <c r="D613" s="291"/>
      <c r="E613" s="291"/>
      <c r="F613" s="291"/>
      <c r="G613" s="291"/>
      <c r="H613" s="291"/>
      <c r="I613" s="291"/>
      <c r="J613" s="342"/>
    </row>
    <row r="614" spans="1:10" ht="12.75" customHeight="1">
      <c r="A614" s="356"/>
      <c r="B614" s="291"/>
      <c r="C614" s="291"/>
      <c r="D614" s="291"/>
      <c r="E614" s="291"/>
      <c r="F614" s="291"/>
      <c r="G614" s="291"/>
      <c r="H614" s="291"/>
      <c r="I614" s="291"/>
      <c r="J614" s="342"/>
    </row>
    <row r="615" spans="1:10" ht="12.75" customHeight="1">
      <c r="A615" s="356"/>
      <c r="B615" s="291"/>
      <c r="C615" s="291"/>
      <c r="D615" s="291"/>
      <c r="E615" s="291"/>
      <c r="F615" s="291"/>
      <c r="G615" s="291"/>
      <c r="H615" s="291"/>
      <c r="I615" s="291"/>
      <c r="J615" s="342"/>
    </row>
    <row r="616" spans="1:10" ht="12.75" customHeight="1">
      <c r="A616" s="356"/>
      <c r="B616" s="291"/>
      <c r="C616" s="291"/>
      <c r="D616" s="291"/>
      <c r="E616" s="291"/>
      <c r="F616" s="291"/>
      <c r="G616" s="291"/>
      <c r="H616" s="291"/>
      <c r="I616" s="291"/>
      <c r="J616" s="342"/>
    </row>
    <row r="617" spans="1:10" ht="12.75" customHeight="1">
      <c r="A617" s="356"/>
      <c r="B617" s="291"/>
      <c r="C617" s="291"/>
      <c r="D617" s="291"/>
      <c r="E617" s="291"/>
      <c r="F617" s="291"/>
      <c r="G617" s="291"/>
      <c r="H617" s="291"/>
      <c r="I617" s="291"/>
      <c r="J617" s="342"/>
    </row>
    <row r="618" spans="1:10" ht="12.75" customHeight="1">
      <c r="A618" s="356"/>
      <c r="B618" s="291"/>
      <c r="C618" s="291"/>
      <c r="D618" s="291"/>
      <c r="E618" s="291"/>
      <c r="F618" s="291"/>
      <c r="G618" s="291"/>
      <c r="H618" s="291"/>
      <c r="I618" s="291"/>
      <c r="J618" s="342"/>
    </row>
    <row r="619" spans="1:10" ht="12.75" customHeight="1">
      <c r="A619" s="356"/>
      <c r="B619" s="291"/>
      <c r="C619" s="291"/>
      <c r="D619" s="291"/>
      <c r="E619" s="291"/>
      <c r="F619" s="291"/>
      <c r="G619" s="291"/>
      <c r="H619" s="291"/>
      <c r="I619" s="291"/>
      <c r="J619" s="342"/>
    </row>
    <row r="620" spans="1:10" ht="12.75" customHeight="1">
      <c r="A620" s="356"/>
      <c r="B620" s="291"/>
      <c r="C620" s="291"/>
      <c r="D620" s="291"/>
      <c r="E620" s="291"/>
      <c r="F620" s="291"/>
      <c r="G620" s="291"/>
      <c r="H620" s="291"/>
      <c r="I620" s="291"/>
      <c r="J620" s="342"/>
    </row>
    <row r="621" spans="1:10" ht="12.75" customHeight="1">
      <c r="A621" s="356"/>
      <c r="B621" s="291"/>
      <c r="C621" s="291"/>
      <c r="D621" s="291"/>
      <c r="E621" s="291"/>
      <c r="F621" s="291"/>
      <c r="G621" s="291"/>
      <c r="H621" s="291"/>
      <c r="I621" s="291"/>
      <c r="J621" s="342"/>
    </row>
    <row r="622" spans="1:10" ht="12.75" customHeight="1">
      <c r="A622" s="356"/>
      <c r="B622" s="291"/>
      <c r="C622" s="291"/>
      <c r="D622" s="291"/>
      <c r="E622" s="291"/>
      <c r="F622" s="291"/>
      <c r="G622" s="291"/>
      <c r="H622" s="291"/>
      <c r="I622" s="291"/>
      <c r="J622" s="342"/>
    </row>
    <row r="623" spans="1:10" ht="12.75" customHeight="1">
      <c r="A623" s="356"/>
      <c r="B623" s="291"/>
      <c r="C623" s="291"/>
      <c r="D623" s="291"/>
      <c r="E623" s="291"/>
      <c r="F623" s="291"/>
      <c r="G623" s="291"/>
      <c r="H623" s="291"/>
      <c r="I623" s="291"/>
      <c r="J623" s="342"/>
    </row>
    <row r="624" spans="1:10" ht="12.75" customHeight="1">
      <c r="A624" s="356"/>
      <c r="B624" s="291"/>
      <c r="C624" s="291"/>
      <c r="D624" s="291"/>
      <c r="E624" s="291"/>
      <c r="F624" s="291"/>
      <c r="G624" s="291"/>
      <c r="H624" s="291"/>
      <c r="I624" s="291"/>
      <c r="J624" s="342"/>
    </row>
    <row r="625" spans="1:10" ht="12.75" customHeight="1">
      <c r="A625" s="356"/>
      <c r="B625" s="291"/>
      <c r="C625" s="291"/>
      <c r="D625" s="291"/>
      <c r="E625" s="291"/>
      <c r="F625" s="291"/>
      <c r="G625" s="291"/>
      <c r="H625" s="291"/>
      <c r="I625" s="291"/>
      <c r="J625" s="342"/>
    </row>
    <row r="626" spans="1:10" ht="12.75" customHeight="1">
      <c r="A626" s="356"/>
      <c r="B626" s="291"/>
      <c r="C626" s="291"/>
      <c r="D626" s="291"/>
      <c r="E626" s="291"/>
      <c r="F626" s="291"/>
      <c r="G626" s="291"/>
      <c r="H626" s="291"/>
      <c r="I626" s="291"/>
      <c r="J626" s="342"/>
    </row>
    <row r="627" spans="1:10" ht="12.75" customHeight="1">
      <c r="A627" s="356"/>
      <c r="B627" s="291"/>
      <c r="C627" s="291"/>
      <c r="D627" s="291"/>
      <c r="E627" s="291"/>
      <c r="F627" s="291"/>
      <c r="G627" s="291"/>
      <c r="H627" s="291"/>
      <c r="I627" s="291"/>
      <c r="J627" s="342"/>
    </row>
    <row r="628" spans="1:10" ht="12.75" customHeight="1">
      <c r="A628" s="356"/>
      <c r="B628" s="291"/>
      <c r="C628" s="291"/>
      <c r="D628" s="291"/>
      <c r="E628" s="291"/>
      <c r="F628" s="291"/>
      <c r="G628" s="291"/>
      <c r="H628" s="291"/>
      <c r="I628" s="291"/>
      <c r="J628" s="342"/>
    </row>
    <row r="629" spans="1:10" ht="12.75" customHeight="1">
      <c r="A629" s="356"/>
      <c r="B629" s="291"/>
      <c r="C629" s="291"/>
      <c r="D629" s="291"/>
      <c r="E629" s="291"/>
      <c r="F629" s="291"/>
      <c r="G629" s="291"/>
      <c r="H629" s="291"/>
      <c r="I629" s="291"/>
      <c r="J629" s="342"/>
    </row>
    <row r="630" spans="1:10" ht="12.75" customHeight="1">
      <c r="A630" s="356"/>
      <c r="B630" s="291"/>
      <c r="C630" s="291"/>
      <c r="D630" s="291"/>
      <c r="E630" s="291"/>
      <c r="F630" s="291"/>
      <c r="G630" s="291"/>
      <c r="H630" s="291"/>
      <c r="I630" s="291"/>
      <c r="J630" s="342"/>
    </row>
    <row r="631" spans="1:10" ht="12.75" customHeight="1">
      <c r="A631" s="356"/>
      <c r="B631" s="291"/>
      <c r="C631" s="291"/>
      <c r="D631" s="291"/>
      <c r="E631" s="291"/>
      <c r="F631" s="291"/>
      <c r="G631" s="291"/>
      <c r="H631" s="291"/>
      <c r="I631" s="291"/>
      <c r="J631" s="342"/>
    </row>
    <row r="632" spans="1:10" ht="12.75" customHeight="1">
      <c r="A632" s="356"/>
      <c r="B632" s="291"/>
      <c r="C632" s="291"/>
      <c r="D632" s="291"/>
      <c r="E632" s="291"/>
      <c r="F632" s="291"/>
      <c r="G632" s="291"/>
      <c r="H632" s="291"/>
      <c r="I632" s="291"/>
      <c r="J632" s="342"/>
    </row>
    <row r="633" spans="1:10" ht="12.75" customHeight="1">
      <c r="A633" s="356"/>
      <c r="B633" s="291"/>
      <c r="C633" s="291"/>
      <c r="D633" s="291"/>
      <c r="E633" s="291"/>
      <c r="F633" s="291"/>
      <c r="G633" s="291"/>
      <c r="H633" s="291"/>
      <c r="I633" s="291"/>
      <c r="J633" s="342"/>
    </row>
    <row r="634" spans="1:10" ht="12.75" customHeight="1">
      <c r="A634" s="356"/>
      <c r="B634" s="291"/>
      <c r="C634" s="291"/>
      <c r="D634" s="291"/>
      <c r="E634" s="291"/>
      <c r="F634" s="291"/>
      <c r="G634" s="291"/>
      <c r="H634" s="291"/>
      <c r="I634" s="291"/>
      <c r="J634" s="342"/>
    </row>
    <row r="635" spans="1:10" ht="12.75" customHeight="1">
      <c r="A635" s="353"/>
      <c r="B635" s="301"/>
      <c r="C635" s="301"/>
      <c r="D635" s="301"/>
      <c r="E635" s="301"/>
      <c r="F635" s="301"/>
      <c r="G635" s="301"/>
      <c r="H635" s="301"/>
      <c r="I635" s="301"/>
      <c r="J635" s="303"/>
    </row>
    <row r="636" spans="1:10" ht="12.75" customHeight="1"/>
    <row r="637" spans="1:10" ht="12.75" customHeight="1">
      <c r="A637" s="286" t="s">
        <v>69</v>
      </c>
      <c r="B637" s="287"/>
      <c r="C637" s="287"/>
      <c r="D637" s="287"/>
      <c r="E637" s="287"/>
      <c r="F637" s="287"/>
      <c r="G637" s="287"/>
      <c r="H637" s="288" t="str">
        <f>'[1]CONTACT INFORMATION'!$A$24</f>
        <v>San Francisco</v>
      </c>
      <c r="I637" s="287"/>
      <c r="J637" s="289"/>
    </row>
    <row r="638" spans="1:10" ht="7.5" customHeight="1">
      <c r="A638" s="154"/>
      <c r="B638" s="154"/>
      <c r="C638" s="154"/>
      <c r="D638" s="154"/>
      <c r="E638" s="154"/>
      <c r="F638" s="154"/>
      <c r="G638" s="154"/>
      <c r="H638" s="154"/>
      <c r="I638" s="154"/>
      <c r="J638" s="154"/>
    </row>
    <row r="639" spans="1:10" ht="12.75" customHeight="1">
      <c r="A639" s="310" t="s">
        <v>180</v>
      </c>
      <c r="B639" s="287"/>
      <c r="C639" s="287"/>
      <c r="D639" s="287"/>
      <c r="E639" s="287"/>
      <c r="F639" s="287"/>
      <c r="G639" s="287"/>
      <c r="H639" s="287"/>
      <c r="I639" s="287"/>
      <c r="J639" s="289"/>
    </row>
    <row r="640" spans="1:10" ht="12.75" customHeight="1">
      <c r="A640" s="311" t="s">
        <v>144</v>
      </c>
      <c r="B640" s="312"/>
      <c r="C640" s="312"/>
      <c r="D640" s="313"/>
      <c r="E640" s="354"/>
      <c r="F640" s="312"/>
      <c r="G640" s="312"/>
      <c r="H640" s="312"/>
      <c r="I640" s="312"/>
      <c r="J640" s="313"/>
    </row>
    <row r="641" spans="1:10" ht="12.75" customHeight="1">
      <c r="A641" s="320" t="s">
        <v>171</v>
      </c>
      <c r="B641" s="301"/>
      <c r="C641" s="301"/>
      <c r="D641" s="303"/>
      <c r="E641" s="353"/>
      <c r="F641" s="301"/>
      <c r="G641" s="301"/>
      <c r="H641" s="301"/>
      <c r="I641" s="301"/>
      <c r="J641" s="303"/>
    </row>
    <row r="642" spans="1:10" ht="12.75" customHeight="1">
      <c r="A642" s="296" t="s">
        <v>930</v>
      </c>
      <c r="B642" s="287"/>
      <c r="C642" s="287"/>
      <c r="D642" s="289"/>
      <c r="E642" s="321"/>
      <c r="F642" s="287"/>
      <c r="G642" s="287"/>
      <c r="H642" s="287"/>
      <c r="I642" s="287"/>
      <c r="J642" s="289"/>
    </row>
    <row r="643" spans="1:10" ht="27" customHeight="1">
      <c r="A643" s="153"/>
      <c r="B643" s="152"/>
      <c r="C643" s="152"/>
      <c r="D643" s="152"/>
      <c r="E643" s="300" t="s">
        <v>147</v>
      </c>
      <c r="F643" s="301"/>
      <c r="G643" s="300" t="s">
        <v>148</v>
      </c>
      <c r="H643" s="301"/>
      <c r="I643" s="302" t="s">
        <v>149</v>
      </c>
      <c r="J643" s="303"/>
    </row>
    <row r="644" spans="1:10" ht="12.75" customHeight="1">
      <c r="A644" s="297" t="s">
        <v>150</v>
      </c>
      <c r="B644" s="287"/>
      <c r="C644" s="287"/>
      <c r="D644" s="289"/>
      <c r="E644" s="298"/>
      <c r="F644" s="289"/>
      <c r="G644" s="298"/>
      <c r="H644" s="289"/>
      <c r="I644" s="299"/>
      <c r="J644" s="289"/>
    </row>
    <row r="645" spans="1:10" ht="12.75" customHeight="1">
      <c r="A645" s="305" t="s">
        <v>151</v>
      </c>
      <c r="B645" s="287"/>
      <c r="C645" s="287"/>
      <c r="D645" s="289"/>
      <c r="E645" s="306"/>
      <c r="F645" s="289"/>
      <c r="G645" s="322"/>
      <c r="H645" s="289"/>
      <c r="I645" s="323"/>
      <c r="J645" s="289"/>
    </row>
    <row r="646" spans="1:10" ht="12.75" customHeight="1">
      <c r="A646" s="297" t="s">
        <v>152</v>
      </c>
      <c r="B646" s="287"/>
      <c r="C646" s="287"/>
      <c r="D646" s="289"/>
      <c r="E646" s="298"/>
      <c r="F646" s="289"/>
      <c r="G646" s="298"/>
      <c r="H646" s="289"/>
      <c r="I646" s="299"/>
      <c r="J646" s="289"/>
    </row>
    <row r="647" spans="1:10" ht="12.75" customHeight="1">
      <c r="A647" s="305" t="s">
        <v>153</v>
      </c>
      <c r="B647" s="287"/>
      <c r="C647" s="287"/>
      <c r="D647" s="289"/>
      <c r="E647" s="306"/>
      <c r="F647" s="289"/>
      <c r="G647" s="322"/>
      <c r="H647" s="289"/>
      <c r="I647" s="323"/>
      <c r="J647" s="289"/>
    </row>
    <row r="648" spans="1:10" ht="12.75" customHeight="1">
      <c r="A648" s="297" t="s">
        <v>154</v>
      </c>
      <c r="B648" s="287"/>
      <c r="C648" s="287"/>
      <c r="D648" s="289"/>
      <c r="E648" s="298"/>
      <c r="F648" s="289"/>
      <c r="G648" s="298"/>
      <c r="H648" s="289"/>
      <c r="I648" s="299"/>
      <c r="J648" s="289"/>
    </row>
    <row r="649" spans="1:10" ht="12.75" customHeight="1">
      <c r="A649" s="305" t="s">
        <v>155</v>
      </c>
      <c r="B649" s="287"/>
      <c r="C649" s="287"/>
      <c r="D649" s="289"/>
      <c r="E649" s="306"/>
      <c r="F649" s="289"/>
      <c r="G649" s="322"/>
      <c r="H649" s="289"/>
      <c r="I649" s="323"/>
      <c r="J649" s="289"/>
    </row>
    <row r="650" spans="1:10" ht="12.75" customHeight="1">
      <c r="A650" s="297" t="s">
        <v>156</v>
      </c>
      <c r="B650" s="287"/>
      <c r="C650" s="287"/>
      <c r="D650" s="289"/>
      <c r="E650" s="325"/>
      <c r="F650" s="289"/>
      <c r="G650" s="325"/>
      <c r="H650" s="289"/>
      <c r="I650" s="326"/>
      <c r="J650" s="289"/>
    </row>
    <row r="651" spans="1:10" ht="12.75" customHeight="1">
      <c r="A651" s="324"/>
      <c r="B651" s="287"/>
      <c r="C651" s="287"/>
      <c r="D651" s="289"/>
      <c r="E651" s="306"/>
      <c r="F651" s="289"/>
      <c r="G651" s="322"/>
      <c r="H651" s="289"/>
      <c r="I651" s="322"/>
      <c r="J651" s="289"/>
    </row>
    <row r="652" spans="1:10" ht="12.75" customHeight="1">
      <c r="A652" s="324"/>
      <c r="B652" s="287"/>
      <c r="C652" s="287"/>
      <c r="D652" s="289"/>
      <c r="E652" s="306"/>
      <c r="F652" s="289"/>
      <c r="G652" s="322"/>
      <c r="H652" s="289"/>
      <c r="I652" s="322"/>
      <c r="J652" s="289"/>
    </row>
    <row r="653" spans="1:10" ht="12.75" customHeight="1">
      <c r="A653" s="324"/>
      <c r="B653" s="287"/>
      <c r="C653" s="287"/>
      <c r="D653" s="289"/>
      <c r="E653" s="306"/>
      <c r="F653" s="289"/>
      <c r="G653" s="322"/>
      <c r="H653" s="289"/>
      <c r="I653" s="322"/>
      <c r="J653" s="289"/>
    </row>
    <row r="654" spans="1:10" ht="12.75" customHeight="1">
      <c r="A654" s="337" t="s">
        <v>157</v>
      </c>
      <c r="B654" s="287"/>
      <c r="C654" s="287"/>
      <c r="D654" s="289"/>
      <c r="E654" s="338">
        <f>SUM(E644:E653)</f>
        <v>0</v>
      </c>
      <c r="F654" s="289"/>
      <c r="G654" s="338">
        <f>SUM(G644:G653)</f>
        <v>0</v>
      </c>
      <c r="H654" s="289"/>
      <c r="I654" s="338">
        <f>SUM(I644:I653)</f>
        <v>0</v>
      </c>
      <c r="J654" s="289"/>
    </row>
    <row r="655" spans="1:10" ht="12.75" customHeight="1">
      <c r="A655" s="339" t="s">
        <v>158</v>
      </c>
      <c r="B655" s="312"/>
      <c r="C655" s="312"/>
      <c r="D655" s="312"/>
      <c r="E655" s="312"/>
      <c r="F655" s="312"/>
      <c r="G655" s="312"/>
      <c r="H655" s="312"/>
      <c r="I655" s="312"/>
      <c r="J655" s="313"/>
    </row>
    <row r="656" spans="1:10" ht="12.75" customHeight="1">
      <c r="A656" s="340" t="s">
        <v>159</v>
      </c>
      <c r="B656" s="341"/>
      <c r="C656" s="341"/>
      <c r="D656" s="341"/>
      <c r="E656" s="341"/>
      <c r="F656" s="341"/>
      <c r="G656" s="341"/>
      <c r="H656" s="341"/>
      <c r="I656" s="341"/>
      <c r="J656" s="342"/>
    </row>
    <row r="657" spans="1:10" ht="12.75" customHeight="1">
      <c r="A657" s="340" t="s">
        <v>160</v>
      </c>
      <c r="B657" s="341"/>
      <c r="C657" s="341"/>
      <c r="D657" s="341"/>
      <c r="E657" s="341"/>
      <c r="F657" s="341"/>
      <c r="G657" s="341"/>
      <c r="H657" s="341"/>
      <c r="I657" s="341"/>
      <c r="J657" s="342"/>
    </row>
    <row r="658" spans="1:10" ht="12.75" customHeight="1">
      <c r="A658" s="336" t="s">
        <v>161</v>
      </c>
      <c r="B658" s="301"/>
      <c r="C658" s="301"/>
      <c r="D658" s="301"/>
      <c r="E658" s="301"/>
      <c r="F658" s="301"/>
      <c r="G658" s="301"/>
      <c r="H658" s="301"/>
      <c r="I658" s="301"/>
      <c r="J658" s="303"/>
    </row>
    <row r="659" spans="1:10" ht="12.75" customHeight="1">
      <c r="A659" s="355"/>
      <c r="B659" s="312"/>
      <c r="C659" s="312"/>
      <c r="D659" s="312"/>
      <c r="E659" s="312"/>
      <c r="F659" s="312"/>
      <c r="G659" s="312"/>
      <c r="H659" s="312"/>
      <c r="I659" s="312"/>
      <c r="J659" s="313"/>
    </row>
    <row r="660" spans="1:10" ht="12.75" customHeight="1">
      <c r="A660" s="356"/>
      <c r="B660" s="291"/>
      <c r="C660" s="291"/>
      <c r="D660" s="291"/>
      <c r="E660" s="291"/>
      <c r="F660" s="291"/>
      <c r="G660" s="291"/>
      <c r="H660" s="291"/>
      <c r="I660" s="291"/>
      <c r="J660" s="342"/>
    </row>
    <row r="661" spans="1:10" ht="12.75" customHeight="1">
      <c r="A661" s="356"/>
      <c r="B661" s="291"/>
      <c r="C661" s="291"/>
      <c r="D661" s="291"/>
      <c r="E661" s="291"/>
      <c r="F661" s="291"/>
      <c r="G661" s="291"/>
      <c r="H661" s="291"/>
      <c r="I661" s="291"/>
      <c r="J661" s="342"/>
    </row>
    <row r="662" spans="1:10" ht="12.75" customHeight="1">
      <c r="A662" s="356"/>
      <c r="B662" s="291"/>
      <c r="C662" s="291"/>
      <c r="D662" s="291"/>
      <c r="E662" s="291"/>
      <c r="F662" s="291"/>
      <c r="G662" s="291"/>
      <c r="H662" s="291"/>
      <c r="I662" s="291"/>
      <c r="J662" s="342"/>
    </row>
    <row r="663" spans="1:10" ht="12.75" customHeight="1">
      <c r="A663" s="356"/>
      <c r="B663" s="291"/>
      <c r="C663" s="291"/>
      <c r="D663" s="291"/>
      <c r="E663" s="291"/>
      <c r="F663" s="291"/>
      <c r="G663" s="291"/>
      <c r="H663" s="291"/>
      <c r="I663" s="291"/>
      <c r="J663" s="342"/>
    </row>
    <row r="664" spans="1:10" ht="12.75" customHeight="1">
      <c r="A664" s="356"/>
      <c r="B664" s="291"/>
      <c r="C664" s="291"/>
      <c r="D664" s="291"/>
      <c r="E664" s="291"/>
      <c r="F664" s="291"/>
      <c r="G664" s="291"/>
      <c r="H664" s="291"/>
      <c r="I664" s="291"/>
      <c r="J664" s="342"/>
    </row>
    <row r="665" spans="1:10" ht="12.75" customHeight="1">
      <c r="A665" s="356"/>
      <c r="B665" s="291"/>
      <c r="C665" s="291"/>
      <c r="D665" s="291"/>
      <c r="E665" s="291"/>
      <c r="F665" s="291"/>
      <c r="G665" s="291"/>
      <c r="H665" s="291"/>
      <c r="I665" s="291"/>
      <c r="J665" s="342"/>
    </row>
    <row r="666" spans="1:10" ht="12.75" customHeight="1">
      <c r="A666" s="356"/>
      <c r="B666" s="291"/>
      <c r="C666" s="291"/>
      <c r="D666" s="291"/>
      <c r="E666" s="291"/>
      <c r="F666" s="291"/>
      <c r="G666" s="291"/>
      <c r="H666" s="291"/>
      <c r="I666" s="291"/>
      <c r="J666" s="342"/>
    </row>
    <row r="667" spans="1:10" ht="12.75" customHeight="1">
      <c r="A667" s="356"/>
      <c r="B667" s="291"/>
      <c r="C667" s="291"/>
      <c r="D667" s="291"/>
      <c r="E667" s="291"/>
      <c r="F667" s="291"/>
      <c r="G667" s="291"/>
      <c r="H667" s="291"/>
      <c r="I667" s="291"/>
      <c r="J667" s="342"/>
    </row>
    <row r="668" spans="1:10" ht="12.75" customHeight="1">
      <c r="A668" s="356"/>
      <c r="B668" s="291"/>
      <c r="C668" s="291"/>
      <c r="D668" s="291"/>
      <c r="E668" s="291"/>
      <c r="F668" s="291"/>
      <c r="G668" s="291"/>
      <c r="H668" s="291"/>
      <c r="I668" s="291"/>
      <c r="J668" s="342"/>
    </row>
    <row r="669" spans="1:10" ht="12.75" customHeight="1">
      <c r="A669" s="356"/>
      <c r="B669" s="291"/>
      <c r="C669" s="291"/>
      <c r="D669" s="291"/>
      <c r="E669" s="291"/>
      <c r="F669" s="291"/>
      <c r="G669" s="291"/>
      <c r="H669" s="291"/>
      <c r="I669" s="291"/>
      <c r="J669" s="342"/>
    </row>
    <row r="670" spans="1:10" ht="12.75" customHeight="1">
      <c r="A670" s="356"/>
      <c r="B670" s="291"/>
      <c r="C670" s="291"/>
      <c r="D670" s="291"/>
      <c r="E670" s="291"/>
      <c r="F670" s="291"/>
      <c r="G670" s="291"/>
      <c r="H670" s="291"/>
      <c r="I670" s="291"/>
      <c r="J670" s="342"/>
    </row>
    <row r="671" spans="1:10" ht="12.75" customHeight="1">
      <c r="A671" s="356"/>
      <c r="B671" s="291"/>
      <c r="C671" s="291"/>
      <c r="D671" s="291"/>
      <c r="E671" s="291"/>
      <c r="F671" s="291"/>
      <c r="G671" s="291"/>
      <c r="H671" s="291"/>
      <c r="I671" s="291"/>
      <c r="J671" s="342"/>
    </row>
    <row r="672" spans="1:10" ht="12.75" customHeight="1">
      <c r="A672" s="356"/>
      <c r="B672" s="291"/>
      <c r="C672" s="291"/>
      <c r="D672" s="291"/>
      <c r="E672" s="291"/>
      <c r="F672" s="291"/>
      <c r="G672" s="291"/>
      <c r="H672" s="291"/>
      <c r="I672" s="291"/>
      <c r="J672" s="342"/>
    </row>
    <row r="673" spans="1:10" ht="12.75" customHeight="1">
      <c r="A673" s="356"/>
      <c r="B673" s="291"/>
      <c r="C673" s="291"/>
      <c r="D673" s="291"/>
      <c r="E673" s="291"/>
      <c r="F673" s="291"/>
      <c r="G673" s="291"/>
      <c r="H673" s="291"/>
      <c r="I673" s="291"/>
      <c r="J673" s="342"/>
    </row>
    <row r="674" spans="1:10" ht="12.75" customHeight="1">
      <c r="A674" s="356"/>
      <c r="B674" s="291"/>
      <c r="C674" s="291"/>
      <c r="D674" s="291"/>
      <c r="E674" s="291"/>
      <c r="F674" s="291"/>
      <c r="G674" s="291"/>
      <c r="H674" s="291"/>
      <c r="I674" s="291"/>
      <c r="J674" s="342"/>
    </row>
    <row r="675" spans="1:10" ht="12.75" customHeight="1">
      <c r="A675" s="356"/>
      <c r="B675" s="291"/>
      <c r="C675" s="291"/>
      <c r="D675" s="291"/>
      <c r="E675" s="291"/>
      <c r="F675" s="291"/>
      <c r="G675" s="291"/>
      <c r="H675" s="291"/>
      <c r="I675" s="291"/>
      <c r="J675" s="342"/>
    </row>
    <row r="676" spans="1:10" ht="12.75" customHeight="1">
      <c r="A676" s="356"/>
      <c r="B676" s="291"/>
      <c r="C676" s="291"/>
      <c r="D676" s="291"/>
      <c r="E676" s="291"/>
      <c r="F676" s="291"/>
      <c r="G676" s="291"/>
      <c r="H676" s="291"/>
      <c r="I676" s="291"/>
      <c r="J676" s="342"/>
    </row>
    <row r="677" spans="1:10" ht="12.75" customHeight="1">
      <c r="A677" s="356"/>
      <c r="B677" s="291"/>
      <c r="C677" s="291"/>
      <c r="D677" s="291"/>
      <c r="E677" s="291"/>
      <c r="F677" s="291"/>
      <c r="G677" s="291"/>
      <c r="H677" s="291"/>
      <c r="I677" s="291"/>
      <c r="J677" s="342"/>
    </row>
    <row r="678" spans="1:10" ht="12.75" customHeight="1">
      <c r="A678" s="356"/>
      <c r="B678" s="291"/>
      <c r="C678" s="291"/>
      <c r="D678" s="291"/>
      <c r="E678" s="291"/>
      <c r="F678" s="291"/>
      <c r="G678" s="291"/>
      <c r="H678" s="291"/>
      <c r="I678" s="291"/>
      <c r="J678" s="342"/>
    </row>
    <row r="679" spans="1:10" ht="12.75" customHeight="1">
      <c r="A679" s="356"/>
      <c r="B679" s="291"/>
      <c r="C679" s="291"/>
      <c r="D679" s="291"/>
      <c r="E679" s="291"/>
      <c r="F679" s="291"/>
      <c r="G679" s="291"/>
      <c r="H679" s="291"/>
      <c r="I679" s="291"/>
      <c r="J679" s="342"/>
    </row>
    <row r="680" spans="1:10" ht="12.75" customHeight="1">
      <c r="A680" s="356"/>
      <c r="B680" s="291"/>
      <c r="C680" s="291"/>
      <c r="D680" s="291"/>
      <c r="E680" s="291"/>
      <c r="F680" s="291"/>
      <c r="G680" s="291"/>
      <c r="H680" s="291"/>
      <c r="I680" s="291"/>
      <c r="J680" s="342"/>
    </row>
    <row r="681" spans="1:10" ht="12.75" customHeight="1">
      <c r="A681" s="356"/>
      <c r="B681" s="291"/>
      <c r="C681" s="291"/>
      <c r="D681" s="291"/>
      <c r="E681" s="291"/>
      <c r="F681" s="291"/>
      <c r="G681" s="291"/>
      <c r="H681" s="291"/>
      <c r="I681" s="291"/>
      <c r="J681" s="342"/>
    </row>
    <row r="682" spans="1:10" ht="12.75" customHeight="1">
      <c r="A682" s="356"/>
      <c r="B682" s="291"/>
      <c r="C682" s="291"/>
      <c r="D682" s="291"/>
      <c r="E682" s="291"/>
      <c r="F682" s="291"/>
      <c r="G682" s="291"/>
      <c r="H682" s="291"/>
      <c r="I682" s="291"/>
      <c r="J682" s="342"/>
    </row>
    <row r="683" spans="1:10" ht="12.75" customHeight="1">
      <c r="A683" s="356"/>
      <c r="B683" s="291"/>
      <c r="C683" s="291"/>
      <c r="D683" s="291"/>
      <c r="E683" s="291"/>
      <c r="F683" s="291"/>
      <c r="G683" s="291"/>
      <c r="H683" s="291"/>
      <c r="I683" s="291"/>
      <c r="J683" s="342"/>
    </row>
    <row r="684" spans="1:10" ht="12.75" customHeight="1">
      <c r="A684" s="356"/>
      <c r="B684" s="291"/>
      <c r="C684" s="291"/>
      <c r="D684" s="291"/>
      <c r="E684" s="291"/>
      <c r="F684" s="291"/>
      <c r="G684" s="291"/>
      <c r="H684" s="291"/>
      <c r="I684" s="291"/>
      <c r="J684" s="342"/>
    </row>
    <row r="685" spans="1:10" ht="12.75" customHeight="1">
      <c r="A685" s="356"/>
      <c r="B685" s="291"/>
      <c r="C685" s="291"/>
      <c r="D685" s="291"/>
      <c r="E685" s="291"/>
      <c r="F685" s="291"/>
      <c r="G685" s="291"/>
      <c r="H685" s="291"/>
      <c r="I685" s="291"/>
      <c r="J685" s="342"/>
    </row>
    <row r="686" spans="1:10" ht="12.75" customHeight="1">
      <c r="A686" s="356"/>
      <c r="B686" s="291"/>
      <c r="C686" s="291"/>
      <c r="D686" s="291"/>
      <c r="E686" s="291"/>
      <c r="F686" s="291"/>
      <c r="G686" s="291"/>
      <c r="H686" s="291"/>
      <c r="I686" s="291"/>
      <c r="J686" s="342"/>
    </row>
    <row r="687" spans="1:10" ht="12.75" customHeight="1">
      <c r="A687" s="356"/>
      <c r="B687" s="291"/>
      <c r="C687" s="291"/>
      <c r="D687" s="291"/>
      <c r="E687" s="291"/>
      <c r="F687" s="291"/>
      <c r="G687" s="291"/>
      <c r="H687" s="291"/>
      <c r="I687" s="291"/>
      <c r="J687" s="342"/>
    </row>
    <row r="688" spans="1:10" ht="12.75" customHeight="1">
      <c r="A688" s="356"/>
      <c r="B688" s="291"/>
      <c r="C688" s="291"/>
      <c r="D688" s="291"/>
      <c r="E688" s="291"/>
      <c r="F688" s="291"/>
      <c r="G688" s="291"/>
      <c r="H688" s="291"/>
      <c r="I688" s="291"/>
      <c r="J688" s="342"/>
    </row>
    <row r="689" spans="1:10" ht="12.75" customHeight="1">
      <c r="A689" s="356"/>
      <c r="B689" s="291"/>
      <c r="C689" s="291"/>
      <c r="D689" s="291"/>
      <c r="E689" s="291"/>
      <c r="F689" s="291"/>
      <c r="G689" s="291"/>
      <c r="H689" s="291"/>
      <c r="I689" s="291"/>
      <c r="J689" s="342"/>
    </row>
    <row r="690" spans="1:10" ht="12.75" customHeight="1">
      <c r="A690" s="356"/>
      <c r="B690" s="291"/>
      <c r="C690" s="291"/>
      <c r="D690" s="291"/>
      <c r="E690" s="291"/>
      <c r="F690" s="291"/>
      <c r="G690" s="291"/>
      <c r="H690" s="291"/>
      <c r="I690" s="291"/>
      <c r="J690" s="342"/>
    </row>
    <row r="691" spans="1:10" ht="12.75" customHeight="1">
      <c r="A691" s="356"/>
      <c r="B691" s="291"/>
      <c r="C691" s="291"/>
      <c r="D691" s="291"/>
      <c r="E691" s="291"/>
      <c r="F691" s="291"/>
      <c r="G691" s="291"/>
      <c r="H691" s="291"/>
      <c r="I691" s="291"/>
      <c r="J691" s="342"/>
    </row>
    <row r="692" spans="1:10" ht="12.75" customHeight="1">
      <c r="A692" s="356"/>
      <c r="B692" s="291"/>
      <c r="C692" s="291"/>
      <c r="D692" s="291"/>
      <c r="E692" s="291"/>
      <c r="F692" s="291"/>
      <c r="G692" s="291"/>
      <c r="H692" s="291"/>
      <c r="I692" s="291"/>
      <c r="J692" s="342"/>
    </row>
    <row r="693" spans="1:10" ht="12.75" customHeight="1">
      <c r="A693" s="353"/>
      <c r="B693" s="301"/>
      <c r="C693" s="301"/>
      <c r="D693" s="301"/>
      <c r="E693" s="301"/>
      <c r="F693" s="301"/>
      <c r="G693" s="301"/>
      <c r="H693" s="301"/>
      <c r="I693" s="301"/>
      <c r="J693" s="303"/>
    </row>
    <row r="694" spans="1:10" ht="12.75" customHeight="1"/>
    <row r="695" spans="1:10" ht="12.75" customHeight="1">
      <c r="A695" s="286" t="s">
        <v>69</v>
      </c>
      <c r="B695" s="287"/>
      <c r="C695" s="287"/>
      <c r="D695" s="287"/>
      <c r="E695" s="287"/>
      <c r="F695" s="287"/>
      <c r="G695" s="287"/>
      <c r="H695" s="288" t="str">
        <f>'[1]CONTACT INFORMATION'!$A$24</f>
        <v>San Francisco</v>
      </c>
      <c r="I695" s="287"/>
      <c r="J695" s="289"/>
    </row>
    <row r="696" spans="1:10" ht="7.5" customHeight="1">
      <c r="A696" s="154"/>
      <c r="B696" s="154"/>
      <c r="C696" s="154"/>
      <c r="D696" s="154"/>
      <c r="E696" s="154"/>
      <c r="F696" s="154"/>
      <c r="G696" s="154"/>
      <c r="H696" s="154"/>
      <c r="I696" s="154"/>
      <c r="J696" s="154"/>
    </row>
    <row r="697" spans="1:10" ht="12.75" customHeight="1">
      <c r="A697" s="310" t="s">
        <v>181</v>
      </c>
      <c r="B697" s="287"/>
      <c r="C697" s="287"/>
      <c r="D697" s="287"/>
      <c r="E697" s="287"/>
      <c r="F697" s="287"/>
      <c r="G697" s="287"/>
      <c r="H697" s="287"/>
      <c r="I697" s="287"/>
      <c r="J697" s="289"/>
    </row>
    <row r="698" spans="1:10" ht="12.75" customHeight="1">
      <c r="A698" s="311" t="s">
        <v>144</v>
      </c>
      <c r="B698" s="312"/>
      <c r="C698" s="312"/>
      <c r="D698" s="313"/>
      <c r="E698" s="354"/>
      <c r="F698" s="312"/>
      <c r="G698" s="312"/>
      <c r="H698" s="312"/>
      <c r="I698" s="312"/>
      <c r="J698" s="313"/>
    </row>
    <row r="699" spans="1:10" ht="12.75" customHeight="1">
      <c r="A699" s="320" t="s">
        <v>171</v>
      </c>
      <c r="B699" s="301"/>
      <c r="C699" s="301"/>
      <c r="D699" s="303"/>
      <c r="E699" s="353"/>
      <c r="F699" s="301"/>
      <c r="G699" s="301"/>
      <c r="H699" s="301"/>
      <c r="I699" s="301"/>
      <c r="J699" s="303"/>
    </row>
    <row r="700" spans="1:10" ht="12.75" customHeight="1">
      <c r="A700" s="296" t="s">
        <v>930</v>
      </c>
      <c r="B700" s="287"/>
      <c r="C700" s="287"/>
      <c r="D700" s="289"/>
      <c r="E700" s="321"/>
      <c r="F700" s="287"/>
      <c r="G700" s="287"/>
      <c r="H700" s="287"/>
      <c r="I700" s="287"/>
      <c r="J700" s="289"/>
    </row>
    <row r="701" spans="1:10" ht="27" customHeight="1">
      <c r="A701" s="153"/>
      <c r="B701" s="152"/>
      <c r="C701" s="152"/>
      <c r="D701" s="152"/>
      <c r="E701" s="300" t="s">
        <v>147</v>
      </c>
      <c r="F701" s="301"/>
      <c r="G701" s="300" t="s">
        <v>148</v>
      </c>
      <c r="H701" s="301"/>
      <c r="I701" s="302" t="s">
        <v>149</v>
      </c>
      <c r="J701" s="303"/>
    </row>
    <row r="702" spans="1:10" ht="12.75" customHeight="1">
      <c r="A702" s="297" t="s">
        <v>150</v>
      </c>
      <c r="B702" s="287"/>
      <c r="C702" s="287"/>
      <c r="D702" s="289"/>
      <c r="E702" s="298"/>
      <c r="F702" s="289"/>
      <c r="G702" s="298"/>
      <c r="H702" s="289"/>
      <c r="I702" s="299"/>
      <c r="J702" s="289"/>
    </row>
    <row r="703" spans="1:10" ht="12.75" customHeight="1">
      <c r="A703" s="305" t="s">
        <v>151</v>
      </c>
      <c r="B703" s="287"/>
      <c r="C703" s="287"/>
      <c r="D703" s="289"/>
      <c r="E703" s="306"/>
      <c r="F703" s="289"/>
      <c r="G703" s="322"/>
      <c r="H703" s="289"/>
      <c r="I703" s="323"/>
      <c r="J703" s="289"/>
    </row>
    <row r="704" spans="1:10" ht="12.75" customHeight="1">
      <c r="A704" s="297" t="s">
        <v>152</v>
      </c>
      <c r="B704" s="287"/>
      <c r="C704" s="287"/>
      <c r="D704" s="289"/>
      <c r="E704" s="298"/>
      <c r="F704" s="289"/>
      <c r="G704" s="298"/>
      <c r="H704" s="289"/>
      <c r="I704" s="299"/>
      <c r="J704" s="289"/>
    </row>
    <row r="705" spans="1:10" ht="12.75" customHeight="1">
      <c r="A705" s="305" t="s">
        <v>153</v>
      </c>
      <c r="B705" s="287"/>
      <c r="C705" s="287"/>
      <c r="D705" s="289"/>
      <c r="E705" s="306"/>
      <c r="F705" s="289"/>
      <c r="G705" s="322"/>
      <c r="H705" s="289"/>
      <c r="I705" s="323"/>
      <c r="J705" s="289"/>
    </row>
    <row r="706" spans="1:10" ht="12.75" customHeight="1">
      <c r="A706" s="297" t="s">
        <v>154</v>
      </c>
      <c r="B706" s="287"/>
      <c r="C706" s="287"/>
      <c r="D706" s="289"/>
      <c r="E706" s="298"/>
      <c r="F706" s="289"/>
      <c r="G706" s="298"/>
      <c r="H706" s="289"/>
      <c r="I706" s="299"/>
      <c r="J706" s="289"/>
    </row>
    <row r="707" spans="1:10" ht="12.75" customHeight="1">
      <c r="A707" s="305" t="s">
        <v>155</v>
      </c>
      <c r="B707" s="287"/>
      <c r="C707" s="287"/>
      <c r="D707" s="289"/>
      <c r="E707" s="306"/>
      <c r="F707" s="289"/>
      <c r="G707" s="322"/>
      <c r="H707" s="289"/>
      <c r="I707" s="323"/>
      <c r="J707" s="289"/>
    </row>
    <row r="708" spans="1:10" ht="12.75" customHeight="1">
      <c r="A708" s="297" t="s">
        <v>156</v>
      </c>
      <c r="B708" s="287"/>
      <c r="C708" s="287"/>
      <c r="D708" s="289"/>
      <c r="E708" s="325"/>
      <c r="F708" s="289"/>
      <c r="G708" s="325"/>
      <c r="H708" s="289"/>
      <c r="I708" s="326"/>
      <c r="J708" s="289"/>
    </row>
    <row r="709" spans="1:10" ht="12.75" customHeight="1">
      <c r="A709" s="324"/>
      <c r="B709" s="287"/>
      <c r="C709" s="287"/>
      <c r="D709" s="289"/>
      <c r="E709" s="306"/>
      <c r="F709" s="289"/>
      <c r="G709" s="322"/>
      <c r="H709" s="289"/>
      <c r="I709" s="322"/>
      <c r="J709" s="289"/>
    </row>
    <row r="710" spans="1:10" ht="12.75" customHeight="1">
      <c r="A710" s="324"/>
      <c r="B710" s="287"/>
      <c r="C710" s="287"/>
      <c r="D710" s="289"/>
      <c r="E710" s="306"/>
      <c r="F710" s="289"/>
      <c r="G710" s="322"/>
      <c r="H710" s="289"/>
      <c r="I710" s="322"/>
      <c r="J710" s="289"/>
    </row>
    <row r="711" spans="1:10" ht="12.75" customHeight="1">
      <c r="A711" s="324"/>
      <c r="B711" s="287"/>
      <c r="C711" s="287"/>
      <c r="D711" s="289"/>
      <c r="E711" s="306"/>
      <c r="F711" s="289"/>
      <c r="G711" s="322"/>
      <c r="H711" s="289"/>
      <c r="I711" s="322"/>
      <c r="J711" s="289"/>
    </row>
    <row r="712" spans="1:10" ht="12.75" customHeight="1">
      <c r="A712" s="337" t="s">
        <v>157</v>
      </c>
      <c r="B712" s="287"/>
      <c r="C712" s="287"/>
      <c r="D712" s="289"/>
      <c r="E712" s="338">
        <f>SUM(E702:E711)</f>
        <v>0</v>
      </c>
      <c r="F712" s="289"/>
      <c r="G712" s="338">
        <f>SUM(G702:G711)</f>
        <v>0</v>
      </c>
      <c r="H712" s="289"/>
      <c r="I712" s="338">
        <f>SUM(I702:I711)</f>
        <v>0</v>
      </c>
      <c r="J712" s="289"/>
    </row>
    <row r="713" spans="1:10" ht="12.75" customHeight="1">
      <c r="A713" s="339" t="s">
        <v>158</v>
      </c>
      <c r="B713" s="312"/>
      <c r="C713" s="312"/>
      <c r="D713" s="312"/>
      <c r="E713" s="312"/>
      <c r="F713" s="312"/>
      <c r="G713" s="312"/>
      <c r="H713" s="312"/>
      <c r="I713" s="312"/>
      <c r="J713" s="313"/>
    </row>
    <row r="714" spans="1:10" ht="12.75" customHeight="1">
      <c r="A714" s="340" t="s">
        <v>159</v>
      </c>
      <c r="B714" s="341"/>
      <c r="C714" s="341"/>
      <c r="D714" s="341"/>
      <c r="E714" s="341"/>
      <c r="F714" s="341"/>
      <c r="G714" s="341"/>
      <c r="H714" s="341"/>
      <c r="I714" s="341"/>
      <c r="J714" s="342"/>
    </row>
    <row r="715" spans="1:10" ht="12.75" customHeight="1">
      <c r="A715" s="340" t="s">
        <v>160</v>
      </c>
      <c r="B715" s="341"/>
      <c r="C715" s="341"/>
      <c r="D715" s="341"/>
      <c r="E715" s="341"/>
      <c r="F715" s="341"/>
      <c r="G715" s="341"/>
      <c r="H715" s="341"/>
      <c r="I715" s="341"/>
      <c r="J715" s="342"/>
    </row>
    <row r="716" spans="1:10" ht="12.75" customHeight="1">
      <c r="A716" s="336" t="s">
        <v>161</v>
      </c>
      <c r="B716" s="301"/>
      <c r="C716" s="301"/>
      <c r="D716" s="301"/>
      <c r="E716" s="301"/>
      <c r="F716" s="301"/>
      <c r="G716" s="301"/>
      <c r="H716" s="301"/>
      <c r="I716" s="301"/>
      <c r="J716" s="303"/>
    </row>
    <row r="717" spans="1:10" ht="12.75" customHeight="1">
      <c r="A717" s="355"/>
      <c r="B717" s="312"/>
      <c r="C717" s="312"/>
      <c r="D717" s="312"/>
      <c r="E717" s="312"/>
      <c r="F717" s="312"/>
      <c r="G717" s="312"/>
      <c r="H717" s="312"/>
      <c r="I717" s="312"/>
      <c r="J717" s="313"/>
    </row>
    <row r="718" spans="1:10" ht="12.75" customHeight="1">
      <c r="A718" s="356"/>
      <c r="B718" s="291"/>
      <c r="C718" s="291"/>
      <c r="D718" s="291"/>
      <c r="E718" s="291"/>
      <c r="F718" s="291"/>
      <c r="G718" s="291"/>
      <c r="H718" s="291"/>
      <c r="I718" s="291"/>
      <c r="J718" s="342"/>
    </row>
    <row r="719" spans="1:10" ht="12.75" customHeight="1">
      <c r="A719" s="356"/>
      <c r="B719" s="291"/>
      <c r="C719" s="291"/>
      <c r="D719" s="291"/>
      <c r="E719" s="291"/>
      <c r="F719" s="291"/>
      <c r="G719" s="291"/>
      <c r="H719" s="291"/>
      <c r="I719" s="291"/>
      <c r="J719" s="342"/>
    </row>
    <row r="720" spans="1:10" ht="12.75" customHeight="1">
      <c r="A720" s="356"/>
      <c r="B720" s="291"/>
      <c r="C720" s="291"/>
      <c r="D720" s="291"/>
      <c r="E720" s="291"/>
      <c r="F720" s="291"/>
      <c r="G720" s="291"/>
      <c r="H720" s="291"/>
      <c r="I720" s="291"/>
      <c r="J720" s="342"/>
    </row>
    <row r="721" spans="1:10" ht="12.75" customHeight="1">
      <c r="A721" s="356"/>
      <c r="B721" s="291"/>
      <c r="C721" s="291"/>
      <c r="D721" s="291"/>
      <c r="E721" s="291"/>
      <c r="F721" s="291"/>
      <c r="G721" s="291"/>
      <c r="H721" s="291"/>
      <c r="I721" s="291"/>
      <c r="J721" s="342"/>
    </row>
    <row r="722" spans="1:10" ht="12.75" customHeight="1">
      <c r="A722" s="356"/>
      <c r="B722" s="291"/>
      <c r="C722" s="291"/>
      <c r="D722" s="291"/>
      <c r="E722" s="291"/>
      <c r="F722" s="291"/>
      <c r="G722" s="291"/>
      <c r="H722" s="291"/>
      <c r="I722" s="291"/>
      <c r="J722" s="342"/>
    </row>
    <row r="723" spans="1:10" ht="12.75" customHeight="1">
      <c r="A723" s="356"/>
      <c r="B723" s="291"/>
      <c r="C723" s="291"/>
      <c r="D723" s="291"/>
      <c r="E723" s="291"/>
      <c r="F723" s="291"/>
      <c r="G723" s="291"/>
      <c r="H723" s="291"/>
      <c r="I723" s="291"/>
      <c r="J723" s="342"/>
    </row>
    <row r="724" spans="1:10" ht="12.75" customHeight="1">
      <c r="A724" s="356"/>
      <c r="B724" s="291"/>
      <c r="C724" s="291"/>
      <c r="D724" s="291"/>
      <c r="E724" s="291"/>
      <c r="F724" s="291"/>
      <c r="G724" s="291"/>
      <c r="H724" s="291"/>
      <c r="I724" s="291"/>
      <c r="J724" s="342"/>
    </row>
    <row r="725" spans="1:10" ht="12.75" customHeight="1">
      <c r="A725" s="356"/>
      <c r="B725" s="291"/>
      <c r="C725" s="291"/>
      <c r="D725" s="291"/>
      <c r="E725" s="291"/>
      <c r="F725" s="291"/>
      <c r="G725" s="291"/>
      <c r="H725" s="291"/>
      <c r="I725" s="291"/>
      <c r="J725" s="342"/>
    </row>
    <row r="726" spans="1:10" ht="12.75" customHeight="1">
      <c r="A726" s="356"/>
      <c r="B726" s="291"/>
      <c r="C726" s="291"/>
      <c r="D726" s="291"/>
      <c r="E726" s="291"/>
      <c r="F726" s="291"/>
      <c r="G726" s="291"/>
      <c r="H726" s="291"/>
      <c r="I726" s="291"/>
      <c r="J726" s="342"/>
    </row>
    <row r="727" spans="1:10" ht="12.75" customHeight="1">
      <c r="A727" s="356"/>
      <c r="B727" s="291"/>
      <c r="C727" s="291"/>
      <c r="D727" s="291"/>
      <c r="E727" s="291"/>
      <c r="F727" s="291"/>
      <c r="G727" s="291"/>
      <c r="H727" s="291"/>
      <c r="I727" s="291"/>
      <c r="J727" s="342"/>
    </row>
    <row r="728" spans="1:10" ht="12.75" customHeight="1">
      <c r="A728" s="356"/>
      <c r="B728" s="291"/>
      <c r="C728" s="291"/>
      <c r="D728" s="291"/>
      <c r="E728" s="291"/>
      <c r="F728" s="291"/>
      <c r="G728" s="291"/>
      <c r="H728" s="291"/>
      <c r="I728" s="291"/>
      <c r="J728" s="342"/>
    </row>
    <row r="729" spans="1:10" ht="12.75" customHeight="1">
      <c r="A729" s="356"/>
      <c r="B729" s="291"/>
      <c r="C729" s="291"/>
      <c r="D729" s="291"/>
      <c r="E729" s="291"/>
      <c r="F729" s="291"/>
      <c r="G729" s="291"/>
      <c r="H729" s="291"/>
      <c r="I729" s="291"/>
      <c r="J729" s="342"/>
    </row>
    <row r="730" spans="1:10" ht="12.75" customHeight="1">
      <c r="A730" s="356"/>
      <c r="B730" s="291"/>
      <c r="C730" s="291"/>
      <c r="D730" s="291"/>
      <c r="E730" s="291"/>
      <c r="F730" s="291"/>
      <c r="G730" s="291"/>
      <c r="H730" s="291"/>
      <c r="I730" s="291"/>
      <c r="J730" s="342"/>
    </row>
    <row r="731" spans="1:10" ht="12.75" customHeight="1">
      <c r="A731" s="356"/>
      <c r="B731" s="291"/>
      <c r="C731" s="291"/>
      <c r="D731" s="291"/>
      <c r="E731" s="291"/>
      <c r="F731" s="291"/>
      <c r="G731" s="291"/>
      <c r="H731" s="291"/>
      <c r="I731" s="291"/>
      <c r="J731" s="342"/>
    </row>
    <row r="732" spans="1:10" ht="12.75" customHeight="1">
      <c r="A732" s="356"/>
      <c r="B732" s="291"/>
      <c r="C732" s="291"/>
      <c r="D732" s="291"/>
      <c r="E732" s="291"/>
      <c r="F732" s="291"/>
      <c r="G732" s="291"/>
      <c r="H732" s="291"/>
      <c r="I732" s="291"/>
      <c r="J732" s="342"/>
    </row>
    <row r="733" spans="1:10" ht="12.75" customHeight="1">
      <c r="A733" s="356"/>
      <c r="B733" s="291"/>
      <c r="C733" s="291"/>
      <c r="D733" s="291"/>
      <c r="E733" s="291"/>
      <c r="F733" s="291"/>
      <c r="G733" s="291"/>
      <c r="H733" s="291"/>
      <c r="I733" s="291"/>
      <c r="J733" s="342"/>
    </row>
    <row r="734" spans="1:10" ht="12.75" customHeight="1">
      <c r="A734" s="356"/>
      <c r="B734" s="291"/>
      <c r="C734" s="291"/>
      <c r="D734" s="291"/>
      <c r="E734" s="291"/>
      <c r="F734" s="291"/>
      <c r="G734" s="291"/>
      <c r="H734" s="291"/>
      <c r="I734" s="291"/>
      <c r="J734" s="342"/>
    </row>
    <row r="735" spans="1:10" ht="12.75" customHeight="1">
      <c r="A735" s="356"/>
      <c r="B735" s="291"/>
      <c r="C735" s="291"/>
      <c r="D735" s="291"/>
      <c r="E735" s="291"/>
      <c r="F735" s="291"/>
      <c r="G735" s="291"/>
      <c r="H735" s="291"/>
      <c r="I735" s="291"/>
      <c r="J735" s="342"/>
    </row>
    <row r="736" spans="1:10" ht="12.75" customHeight="1">
      <c r="A736" s="356"/>
      <c r="B736" s="291"/>
      <c r="C736" s="291"/>
      <c r="D736" s="291"/>
      <c r="E736" s="291"/>
      <c r="F736" s="291"/>
      <c r="G736" s="291"/>
      <c r="H736" s="291"/>
      <c r="I736" s="291"/>
      <c r="J736" s="342"/>
    </row>
    <row r="737" spans="1:10" ht="12.75" customHeight="1">
      <c r="A737" s="356"/>
      <c r="B737" s="291"/>
      <c r="C737" s="291"/>
      <c r="D737" s="291"/>
      <c r="E737" s="291"/>
      <c r="F737" s="291"/>
      <c r="G737" s="291"/>
      <c r="H737" s="291"/>
      <c r="I737" s="291"/>
      <c r="J737" s="342"/>
    </row>
    <row r="738" spans="1:10" ht="12.75" customHeight="1">
      <c r="A738" s="356"/>
      <c r="B738" s="291"/>
      <c r="C738" s="291"/>
      <c r="D738" s="291"/>
      <c r="E738" s="291"/>
      <c r="F738" s="291"/>
      <c r="G738" s="291"/>
      <c r="H738" s="291"/>
      <c r="I738" s="291"/>
      <c r="J738" s="342"/>
    </row>
    <row r="739" spans="1:10" ht="12.75" customHeight="1">
      <c r="A739" s="356"/>
      <c r="B739" s="291"/>
      <c r="C739" s="291"/>
      <c r="D739" s="291"/>
      <c r="E739" s="291"/>
      <c r="F739" s="291"/>
      <c r="G739" s="291"/>
      <c r="H739" s="291"/>
      <c r="I739" s="291"/>
      <c r="J739" s="342"/>
    </row>
    <row r="740" spans="1:10" ht="12.75" customHeight="1">
      <c r="A740" s="356"/>
      <c r="B740" s="291"/>
      <c r="C740" s="291"/>
      <c r="D740" s="291"/>
      <c r="E740" s="291"/>
      <c r="F740" s="291"/>
      <c r="G740" s="291"/>
      <c r="H740" s="291"/>
      <c r="I740" s="291"/>
      <c r="J740" s="342"/>
    </row>
    <row r="741" spans="1:10" ht="12.75" customHeight="1">
      <c r="A741" s="356"/>
      <c r="B741" s="291"/>
      <c r="C741" s="291"/>
      <c r="D741" s="291"/>
      <c r="E741" s="291"/>
      <c r="F741" s="291"/>
      <c r="G741" s="291"/>
      <c r="H741" s="291"/>
      <c r="I741" s="291"/>
      <c r="J741" s="342"/>
    </row>
    <row r="742" spans="1:10" ht="12.75" customHeight="1">
      <c r="A742" s="356"/>
      <c r="B742" s="291"/>
      <c r="C742" s="291"/>
      <c r="D742" s="291"/>
      <c r="E742" s="291"/>
      <c r="F742" s="291"/>
      <c r="G742" s="291"/>
      <c r="H742" s="291"/>
      <c r="I742" s="291"/>
      <c r="J742" s="342"/>
    </row>
    <row r="743" spans="1:10" ht="12.75" customHeight="1">
      <c r="A743" s="356"/>
      <c r="B743" s="291"/>
      <c r="C743" s="291"/>
      <c r="D743" s="291"/>
      <c r="E743" s="291"/>
      <c r="F743" s="291"/>
      <c r="G743" s="291"/>
      <c r="H743" s="291"/>
      <c r="I743" s="291"/>
      <c r="J743" s="342"/>
    </row>
    <row r="744" spans="1:10" ht="12.75" customHeight="1">
      <c r="A744" s="356"/>
      <c r="B744" s="291"/>
      <c r="C744" s="291"/>
      <c r="D744" s="291"/>
      <c r="E744" s="291"/>
      <c r="F744" s="291"/>
      <c r="G744" s="291"/>
      <c r="H744" s="291"/>
      <c r="I744" s="291"/>
      <c r="J744" s="342"/>
    </row>
    <row r="745" spans="1:10" ht="12.75" customHeight="1">
      <c r="A745" s="356"/>
      <c r="B745" s="291"/>
      <c r="C745" s="291"/>
      <c r="D745" s="291"/>
      <c r="E745" s="291"/>
      <c r="F745" s="291"/>
      <c r="G745" s="291"/>
      <c r="H745" s="291"/>
      <c r="I745" s="291"/>
      <c r="J745" s="342"/>
    </row>
    <row r="746" spans="1:10" ht="12.75" customHeight="1">
      <c r="A746" s="356"/>
      <c r="B746" s="291"/>
      <c r="C746" s="291"/>
      <c r="D746" s="291"/>
      <c r="E746" s="291"/>
      <c r="F746" s="291"/>
      <c r="G746" s="291"/>
      <c r="H746" s="291"/>
      <c r="I746" s="291"/>
      <c r="J746" s="342"/>
    </row>
    <row r="747" spans="1:10" ht="12.75" customHeight="1">
      <c r="A747" s="356"/>
      <c r="B747" s="291"/>
      <c r="C747" s="291"/>
      <c r="D747" s="291"/>
      <c r="E747" s="291"/>
      <c r="F747" s="291"/>
      <c r="G747" s="291"/>
      <c r="H747" s="291"/>
      <c r="I747" s="291"/>
      <c r="J747" s="342"/>
    </row>
    <row r="748" spans="1:10" ht="12.75" customHeight="1">
      <c r="A748" s="356"/>
      <c r="B748" s="291"/>
      <c r="C748" s="291"/>
      <c r="D748" s="291"/>
      <c r="E748" s="291"/>
      <c r="F748" s="291"/>
      <c r="G748" s="291"/>
      <c r="H748" s="291"/>
      <c r="I748" s="291"/>
      <c r="J748" s="342"/>
    </row>
    <row r="749" spans="1:10" ht="12.75" customHeight="1">
      <c r="A749" s="356"/>
      <c r="B749" s="291"/>
      <c r="C749" s="291"/>
      <c r="D749" s="291"/>
      <c r="E749" s="291"/>
      <c r="F749" s="291"/>
      <c r="G749" s="291"/>
      <c r="H749" s="291"/>
      <c r="I749" s="291"/>
      <c r="J749" s="342"/>
    </row>
    <row r="750" spans="1:10" ht="12.75" customHeight="1">
      <c r="A750" s="356"/>
      <c r="B750" s="291"/>
      <c r="C750" s="291"/>
      <c r="D750" s="291"/>
      <c r="E750" s="291"/>
      <c r="F750" s="291"/>
      <c r="G750" s="291"/>
      <c r="H750" s="291"/>
      <c r="I750" s="291"/>
      <c r="J750" s="342"/>
    </row>
    <row r="751" spans="1:10" ht="12.75" customHeight="1">
      <c r="A751" s="353"/>
      <c r="B751" s="301"/>
      <c r="C751" s="301"/>
      <c r="D751" s="301"/>
      <c r="E751" s="301"/>
      <c r="F751" s="301"/>
      <c r="G751" s="301"/>
      <c r="H751" s="301"/>
      <c r="I751" s="301"/>
      <c r="J751" s="303"/>
    </row>
    <row r="752" spans="1:10" ht="12.75" customHeight="1"/>
    <row r="753" spans="1:10" ht="12.75" customHeight="1">
      <c r="A753" s="286" t="s">
        <v>69</v>
      </c>
      <c r="B753" s="287"/>
      <c r="C753" s="287"/>
      <c r="D753" s="287"/>
      <c r="E753" s="287"/>
      <c r="F753" s="287"/>
      <c r="G753" s="287"/>
      <c r="H753" s="288" t="str">
        <f>'[1]CONTACT INFORMATION'!$A$24</f>
        <v>San Francisco</v>
      </c>
      <c r="I753" s="287"/>
      <c r="J753" s="289"/>
    </row>
    <row r="754" spans="1:10" ht="7.5" customHeight="1">
      <c r="A754" s="154"/>
      <c r="B754" s="154"/>
      <c r="C754" s="154"/>
      <c r="D754" s="154"/>
      <c r="E754" s="154"/>
      <c r="F754" s="154"/>
      <c r="G754" s="154"/>
      <c r="H754" s="154"/>
      <c r="I754" s="154"/>
      <c r="J754" s="154"/>
    </row>
    <row r="755" spans="1:10" ht="12.75" customHeight="1">
      <c r="A755" s="310" t="s">
        <v>182</v>
      </c>
      <c r="B755" s="287"/>
      <c r="C755" s="287"/>
      <c r="D755" s="287"/>
      <c r="E755" s="287"/>
      <c r="F755" s="287"/>
      <c r="G755" s="287"/>
      <c r="H755" s="287"/>
      <c r="I755" s="287"/>
      <c r="J755" s="289"/>
    </row>
    <row r="756" spans="1:10" ht="12.75" customHeight="1">
      <c r="A756" s="311" t="s">
        <v>144</v>
      </c>
      <c r="B756" s="312"/>
      <c r="C756" s="312"/>
      <c r="D756" s="313"/>
      <c r="E756" s="354"/>
      <c r="F756" s="312"/>
      <c r="G756" s="312"/>
      <c r="H756" s="312"/>
      <c r="I756" s="312"/>
      <c r="J756" s="313"/>
    </row>
    <row r="757" spans="1:10" ht="12.75" customHeight="1">
      <c r="A757" s="320" t="s">
        <v>171</v>
      </c>
      <c r="B757" s="301"/>
      <c r="C757" s="301"/>
      <c r="D757" s="303"/>
      <c r="E757" s="353"/>
      <c r="F757" s="301"/>
      <c r="G757" s="301"/>
      <c r="H757" s="301"/>
      <c r="I757" s="301"/>
      <c r="J757" s="303"/>
    </row>
    <row r="758" spans="1:10" ht="12.75" customHeight="1">
      <c r="A758" s="296" t="s">
        <v>930</v>
      </c>
      <c r="B758" s="287"/>
      <c r="C758" s="287"/>
      <c r="D758" s="289"/>
      <c r="E758" s="321"/>
      <c r="F758" s="287"/>
      <c r="G758" s="287"/>
      <c r="H758" s="287"/>
      <c r="I758" s="287"/>
      <c r="J758" s="289"/>
    </row>
    <row r="759" spans="1:10" ht="27" customHeight="1">
      <c r="A759" s="153"/>
      <c r="B759" s="152"/>
      <c r="C759" s="152"/>
      <c r="D759" s="152"/>
      <c r="E759" s="300" t="s">
        <v>147</v>
      </c>
      <c r="F759" s="301"/>
      <c r="G759" s="300" t="s">
        <v>148</v>
      </c>
      <c r="H759" s="301"/>
      <c r="I759" s="302" t="s">
        <v>149</v>
      </c>
      <c r="J759" s="303"/>
    </row>
    <row r="760" spans="1:10" ht="12.75" customHeight="1">
      <c r="A760" s="297" t="s">
        <v>150</v>
      </c>
      <c r="B760" s="287"/>
      <c r="C760" s="287"/>
      <c r="D760" s="289"/>
      <c r="E760" s="298"/>
      <c r="F760" s="289"/>
      <c r="G760" s="298"/>
      <c r="H760" s="289"/>
      <c r="I760" s="299"/>
      <c r="J760" s="289"/>
    </row>
    <row r="761" spans="1:10" ht="12.75" customHeight="1">
      <c r="A761" s="305" t="s">
        <v>151</v>
      </c>
      <c r="B761" s="287"/>
      <c r="C761" s="287"/>
      <c r="D761" s="289"/>
      <c r="E761" s="306"/>
      <c r="F761" s="289"/>
      <c r="G761" s="322"/>
      <c r="H761" s="289"/>
      <c r="I761" s="323"/>
      <c r="J761" s="289"/>
    </row>
    <row r="762" spans="1:10" ht="12.75" customHeight="1">
      <c r="A762" s="297" t="s">
        <v>152</v>
      </c>
      <c r="B762" s="287"/>
      <c r="C762" s="287"/>
      <c r="D762" s="289"/>
      <c r="E762" s="298"/>
      <c r="F762" s="289"/>
      <c r="G762" s="298"/>
      <c r="H762" s="289"/>
      <c r="I762" s="299"/>
      <c r="J762" s="289"/>
    </row>
    <row r="763" spans="1:10" ht="12.75" customHeight="1">
      <c r="A763" s="305" t="s">
        <v>153</v>
      </c>
      <c r="B763" s="287"/>
      <c r="C763" s="287"/>
      <c r="D763" s="289"/>
      <c r="E763" s="306"/>
      <c r="F763" s="289"/>
      <c r="G763" s="322"/>
      <c r="H763" s="289"/>
      <c r="I763" s="323"/>
      <c r="J763" s="289"/>
    </row>
    <row r="764" spans="1:10" ht="12.75" customHeight="1">
      <c r="A764" s="297" t="s">
        <v>154</v>
      </c>
      <c r="B764" s="287"/>
      <c r="C764" s="287"/>
      <c r="D764" s="289"/>
      <c r="E764" s="298"/>
      <c r="F764" s="289"/>
      <c r="G764" s="298"/>
      <c r="H764" s="289"/>
      <c r="I764" s="299"/>
      <c r="J764" s="289"/>
    </row>
    <row r="765" spans="1:10" ht="12.75" customHeight="1">
      <c r="A765" s="305" t="s">
        <v>155</v>
      </c>
      <c r="B765" s="287"/>
      <c r="C765" s="287"/>
      <c r="D765" s="289"/>
      <c r="E765" s="306"/>
      <c r="F765" s="289"/>
      <c r="G765" s="322"/>
      <c r="H765" s="289"/>
      <c r="I765" s="323"/>
      <c r="J765" s="289"/>
    </row>
    <row r="766" spans="1:10" ht="12.75" customHeight="1">
      <c r="A766" s="297" t="s">
        <v>156</v>
      </c>
      <c r="B766" s="287"/>
      <c r="C766" s="287"/>
      <c r="D766" s="289"/>
      <c r="E766" s="325"/>
      <c r="F766" s="289"/>
      <c r="G766" s="325"/>
      <c r="H766" s="289"/>
      <c r="I766" s="326"/>
      <c r="J766" s="289"/>
    </row>
    <row r="767" spans="1:10" ht="12.75" customHeight="1">
      <c r="A767" s="324"/>
      <c r="B767" s="287"/>
      <c r="C767" s="287"/>
      <c r="D767" s="289"/>
      <c r="E767" s="306"/>
      <c r="F767" s="289"/>
      <c r="G767" s="322"/>
      <c r="H767" s="289"/>
      <c r="I767" s="322"/>
      <c r="J767" s="289"/>
    </row>
    <row r="768" spans="1:10" ht="12.75" customHeight="1">
      <c r="A768" s="324"/>
      <c r="B768" s="287"/>
      <c r="C768" s="287"/>
      <c r="D768" s="289"/>
      <c r="E768" s="306"/>
      <c r="F768" s="289"/>
      <c r="G768" s="322"/>
      <c r="H768" s="289"/>
      <c r="I768" s="322"/>
      <c r="J768" s="289"/>
    </row>
    <row r="769" spans="1:10" ht="12.75" customHeight="1">
      <c r="A769" s="324"/>
      <c r="B769" s="287"/>
      <c r="C769" s="287"/>
      <c r="D769" s="289"/>
      <c r="E769" s="306"/>
      <c r="F769" s="289"/>
      <c r="G769" s="322"/>
      <c r="H769" s="289"/>
      <c r="I769" s="322"/>
      <c r="J769" s="289"/>
    </row>
    <row r="770" spans="1:10" ht="12.75" customHeight="1">
      <c r="A770" s="337" t="s">
        <v>157</v>
      </c>
      <c r="B770" s="287"/>
      <c r="C770" s="287"/>
      <c r="D770" s="289"/>
      <c r="E770" s="338">
        <f>SUM(E760:E769)</f>
        <v>0</v>
      </c>
      <c r="F770" s="289"/>
      <c r="G770" s="338">
        <f>SUM(G760:G769)</f>
        <v>0</v>
      </c>
      <c r="H770" s="289"/>
      <c r="I770" s="338">
        <f>SUM(I760:I769)</f>
        <v>0</v>
      </c>
      <c r="J770" s="289"/>
    </row>
    <row r="771" spans="1:10" ht="12.75" customHeight="1">
      <c r="A771" s="339" t="s">
        <v>158</v>
      </c>
      <c r="B771" s="312"/>
      <c r="C771" s="312"/>
      <c r="D771" s="312"/>
      <c r="E771" s="312"/>
      <c r="F771" s="312"/>
      <c r="G771" s="312"/>
      <c r="H771" s="312"/>
      <c r="I771" s="312"/>
      <c r="J771" s="313"/>
    </row>
    <row r="772" spans="1:10" ht="12.75" customHeight="1">
      <c r="A772" s="340" t="s">
        <v>159</v>
      </c>
      <c r="B772" s="341"/>
      <c r="C772" s="341"/>
      <c r="D772" s="341"/>
      <c r="E772" s="341"/>
      <c r="F772" s="341"/>
      <c r="G772" s="341"/>
      <c r="H772" s="341"/>
      <c r="I772" s="341"/>
      <c r="J772" s="342"/>
    </row>
    <row r="773" spans="1:10" ht="12.75" customHeight="1">
      <c r="A773" s="340" t="s">
        <v>160</v>
      </c>
      <c r="B773" s="341"/>
      <c r="C773" s="341"/>
      <c r="D773" s="341"/>
      <c r="E773" s="341"/>
      <c r="F773" s="341"/>
      <c r="G773" s="341"/>
      <c r="H773" s="341"/>
      <c r="I773" s="341"/>
      <c r="J773" s="342"/>
    </row>
    <row r="774" spans="1:10" ht="12.75" customHeight="1">
      <c r="A774" s="336" t="s">
        <v>161</v>
      </c>
      <c r="B774" s="301"/>
      <c r="C774" s="301"/>
      <c r="D774" s="301"/>
      <c r="E774" s="301"/>
      <c r="F774" s="301"/>
      <c r="G774" s="301"/>
      <c r="H774" s="301"/>
      <c r="I774" s="301"/>
      <c r="J774" s="303"/>
    </row>
    <row r="775" spans="1:10" ht="12.75" customHeight="1">
      <c r="A775" s="355"/>
      <c r="B775" s="312"/>
      <c r="C775" s="312"/>
      <c r="D775" s="312"/>
      <c r="E775" s="312"/>
      <c r="F775" s="312"/>
      <c r="G775" s="312"/>
      <c r="H775" s="312"/>
      <c r="I775" s="312"/>
      <c r="J775" s="313"/>
    </row>
    <row r="776" spans="1:10" ht="12.75" customHeight="1">
      <c r="A776" s="356"/>
      <c r="B776" s="291"/>
      <c r="C776" s="291"/>
      <c r="D776" s="291"/>
      <c r="E776" s="291"/>
      <c r="F776" s="291"/>
      <c r="G776" s="291"/>
      <c r="H776" s="291"/>
      <c r="I776" s="291"/>
      <c r="J776" s="342"/>
    </row>
    <row r="777" spans="1:10" ht="12.75" customHeight="1">
      <c r="A777" s="356"/>
      <c r="B777" s="291"/>
      <c r="C777" s="291"/>
      <c r="D777" s="291"/>
      <c r="E777" s="291"/>
      <c r="F777" s="291"/>
      <c r="G777" s="291"/>
      <c r="H777" s="291"/>
      <c r="I777" s="291"/>
      <c r="J777" s="342"/>
    </row>
    <row r="778" spans="1:10" ht="12.75" customHeight="1">
      <c r="A778" s="356"/>
      <c r="B778" s="291"/>
      <c r="C778" s="291"/>
      <c r="D778" s="291"/>
      <c r="E778" s="291"/>
      <c r="F778" s="291"/>
      <c r="G778" s="291"/>
      <c r="H778" s="291"/>
      <c r="I778" s="291"/>
      <c r="J778" s="342"/>
    </row>
    <row r="779" spans="1:10" ht="12.75" customHeight="1">
      <c r="A779" s="356"/>
      <c r="B779" s="291"/>
      <c r="C779" s="291"/>
      <c r="D779" s="291"/>
      <c r="E779" s="291"/>
      <c r="F779" s="291"/>
      <c r="G779" s="291"/>
      <c r="H779" s="291"/>
      <c r="I779" s="291"/>
      <c r="J779" s="342"/>
    </row>
    <row r="780" spans="1:10" ht="12.75" customHeight="1">
      <c r="A780" s="356"/>
      <c r="B780" s="291"/>
      <c r="C780" s="291"/>
      <c r="D780" s="291"/>
      <c r="E780" s="291"/>
      <c r="F780" s="291"/>
      <c r="G780" s="291"/>
      <c r="H780" s="291"/>
      <c r="I780" s="291"/>
      <c r="J780" s="342"/>
    </row>
    <row r="781" spans="1:10" ht="12.75" customHeight="1">
      <c r="A781" s="356"/>
      <c r="B781" s="291"/>
      <c r="C781" s="291"/>
      <c r="D781" s="291"/>
      <c r="E781" s="291"/>
      <c r="F781" s="291"/>
      <c r="G781" s="291"/>
      <c r="H781" s="291"/>
      <c r="I781" s="291"/>
      <c r="J781" s="342"/>
    </row>
    <row r="782" spans="1:10" ht="12.75" customHeight="1">
      <c r="A782" s="356"/>
      <c r="B782" s="291"/>
      <c r="C782" s="291"/>
      <c r="D782" s="291"/>
      <c r="E782" s="291"/>
      <c r="F782" s="291"/>
      <c r="G782" s="291"/>
      <c r="H782" s="291"/>
      <c r="I782" s="291"/>
      <c r="J782" s="342"/>
    </row>
    <row r="783" spans="1:10" ht="12.75" customHeight="1">
      <c r="A783" s="356"/>
      <c r="B783" s="291"/>
      <c r="C783" s="291"/>
      <c r="D783" s="291"/>
      <c r="E783" s="291"/>
      <c r="F783" s="291"/>
      <c r="G783" s="291"/>
      <c r="H783" s="291"/>
      <c r="I783" s="291"/>
      <c r="J783" s="342"/>
    </row>
    <row r="784" spans="1:10" ht="12.75" customHeight="1">
      <c r="A784" s="356"/>
      <c r="B784" s="291"/>
      <c r="C784" s="291"/>
      <c r="D784" s="291"/>
      <c r="E784" s="291"/>
      <c r="F784" s="291"/>
      <c r="G784" s="291"/>
      <c r="H784" s="291"/>
      <c r="I784" s="291"/>
      <c r="J784" s="342"/>
    </row>
    <row r="785" spans="1:10" ht="12.75" customHeight="1">
      <c r="A785" s="356"/>
      <c r="B785" s="291"/>
      <c r="C785" s="291"/>
      <c r="D785" s="291"/>
      <c r="E785" s="291"/>
      <c r="F785" s="291"/>
      <c r="G785" s="291"/>
      <c r="H785" s="291"/>
      <c r="I785" s="291"/>
      <c r="J785" s="342"/>
    </row>
    <row r="786" spans="1:10" ht="12.75" customHeight="1">
      <c r="A786" s="356"/>
      <c r="B786" s="291"/>
      <c r="C786" s="291"/>
      <c r="D786" s="291"/>
      <c r="E786" s="291"/>
      <c r="F786" s="291"/>
      <c r="G786" s="291"/>
      <c r="H786" s="291"/>
      <c r="I786" s="291"/>
      <c r="J786" s="342"/>
    </row>
    <row r="787" spans="1:10" ht="12.75" customHeight="1">
      <c r="A787" s="356"/>
      <c r="B787" s="291"/>
      <c r="C787" s="291"/>
      <c r="D787" s="291"/>
      <c r="E787" s="291"/>
      <c r="F787" s="291"/>
      <c r="G787" s="291"/>
      <c r="H787" s="291"/>
      <c r="I787" s="291"/>
      <c r="J787" s="342"/>
    </row>
    <row r="788" spans="1:10" ht="12.75" customHeight="1">
      <c r="A788" s="356"/>
      <c r="B788" s="291"/>
      <c r="C788" s="291"/>
      <c r="D788" s="291"/>
      <c r="E788" s="291"/>
      <c r="F788" s="291"/>
      <c r="G788" s="291"/>
      <c r="H788" s="291"/>
      <c r="I788" s="291"/>
      <c r="J788" s="342"/>
    </row>
    <row r="789" spans="1:10" ht="12.75" customHeight="1">
      <c r="A789" s="356"/>
      <c r="B789" s="291"/>
      <c r="C789" s="291"/>
      <c r="D789" s="291"/>
      <c r="E789" s="291"/>
      <c r="F789" s="291"/>
      <c r="G789" s="291"/>
      <c r="H789" s="291"/>
      <c r="I789" s="291"/>
      <c r="J789" s="342"/>
    </row>
    <row r="790" spans="1:10" ht="12.75" customHeight="1">
      <c r="A790" s="356"/>
      <c r="B790" s="291"/>
      <c r="C790" s="291"/>
      <c r="D790" s="291"/>
      <c r="E790" s="291"/>
      <c r="F790" s="291"/>
      <c r="G790" s="291"/>
      <c r="H790" s="291"/>
      <c r="I790" s="291"/>
      <c r="J790" s="342"/>
    </row>
    <row r="791" spans="1:10" ht="12.75" customHeight="1">
      <c r="A791" s="356"/>
      <c r="B791" s="291"/>
      <c r="C791" s="291"/>
      <c r="D791" s="291"/>
      <c r="E791" s="291"/>
      <c r="F791" s="291"/>
      <c r="G791" s="291"/>
      <c r="H791" s="291"/>
      <c r="I791" s="291"/>
      <c r="J791" s="342"/>
    </row>
    <row r="792" spans="1:10" ht="12.75" customHeight="1">
      <c r="A792" s="356"/>
      <c r="B792" s="291"/>
      <c r="C792" s="291"/>
      <c r="D792" s="291"/>
      <c r="E792" s="291"/>
      <c r="F792" s="291"/>
      <c r="G792" s="291"/>
      <c r="H792" s="291"/>
      <c r="I792" s="291"/>
      <c r="J792" s="342"/>
    </row>
    <row r="793" spans="1:10" ht="12.75" customHeight="1">
      <c r="A793" s="356"/>
      <c r="B793" s="291"/>
      <c r="C793" s="291"/>
      <c r="D793" s="291"/>
      <c r="E793" s="291"/>
      <c r="F793" s="291"/>
      <c r="G793" s="291"/>
      <c r="H793" s="291"/>
      <c r="I793" s="291"/>
      <c r="J793" s="342"/>
    </row>
    <row r="794" spans="1:10" ht="12.75" customHeight="1">
      <c r="A794" s="356"/>
      <c r="B794" s="291"/>
      <c r="C794" s="291"/>
      <c r="D794" s="291"/>
      <c r="E794" s="291"/>
      <c r="F794" s="291"/>
      <c r="G794" s="291"/>
      <c r="H794" s="291"/>
      <c r="I794" s="291"/>
      <c r="J794" s="342"/>
    </row>
    <row r="795" spans="1:10" ht="12.75" customHeight="1">
      <c r="A795" s="356"/>
      <c r="B795" s="291"/>
      <c r="C795" s="291"/>
      <c r="D795" s="291"/>
      <c r="E795" s="291"/>
      <c r="F795" s="291"/>
      <c r="G795" s="291"/>
      <c r="H795" s="291"/>
      <c r="I795" s="291"/>
      <c r="J795" s="342"/>
    </row>
    <row r="796" spans="1:10" ht="12.75" customHeight="1">
      <c r="A796" s="356"/>
      <c r="B796" s="291"/>
      <c r="C796" s="291"/>
      <c r="D796" s="291"/>
      <c r="E796" s="291"/>
      <c r="F796" s="291"/>
      <c r="G796" s="291"/>
      <c r="H796" s="291"/>
      <c r="I796" s="291"/>
      <c r="J796" s="342"/>
    </row>
    <row r="797" spans="1:10" ht="12.75" customHeight="1">
      <c r="A797" s="356"/>
      <c r="B797" s="291"/>
      <c r="C797" s="291"/>
      <c r="D797" s="291"/>
      <c r="E797" s="291"/>
      <c r="F797" s="291"/>
      <c r="G797" s="291"/>
      <c r="H797" s="291"/>
      <c r="I797" s="291"/>
      <c r="J797" s="342"/>
    </row>
    <row r="798" spans="1:10" ht="12.75" customHeight="1">
      <c r="A798" s="356"/>
      <c r="B798" s="291"/>
      <c r="C798" s="291"/>
      <c r="D798" s="291"/>
      <c r="E798" s="291"/>
      <c r="F798" s="291"/>
      <c r="G798" s="291"/>
      <c r="H798" s="291"/>
      <c r="I798" s="291"/>
      <c r="J798" s="342"/>
    </row>
    <row r="799" spans="1:10" ht="12.75" customHeight="1">
      <c r="A799" s="356"/>
      <c r="B799" s="291"/>
      <c r="C799" s="291"/>
      <c r="D799" s="291"/>
      <c r="E799" s="291"/>
      <c r="F799" s="291"/>
      <c r="G799" s="291"/>
      <c r="H799" s="291"/>
      <c r="I799" s="291"/>
      <c r="J799" s="342"/>
    </row>
    <row r="800" spans="1:10" ht="12.75" customHeight="1">
      <c r="A800" s="356"/>
      <c r="B800" s="291"/>
      <c r="C800" s="291"/>
      <c r="D800" s="291"/>
      <c r="E800" s="291"/>
      <c r="F800" s="291"/>
      <c r="G800" s="291"/>
      <c r="H800" s="291"/>
      <c r="I800" s="291"/>
      <c r="J800" s="342"/>
    </row>
    <row r="801" spans="1:10" ht="12.75" customHeight="1">
      <c r="A801" s="356"/>
      <c r="B801" s="291"/>
      <c r="C801" s="291"/>
      <c r="D801" s="291"/>
      <c r="E801" s="291"/>
      <c r="F801" s="291"/>
      <c r="G801" s="291"/>
      <c r="H801" s="291"/>
      <c r="I801" s="291"/>
      <c r="J801" s="342"/>
    </row>
    <row r="802" spans="1:10" ht="12.75" customHeight="1">
      <c r="A802" s="356"/>
      <c r="B802" s="291"/>
      <c r="C802" s="291"/>
      <c r="D802" s="291"/>
      <c r="E802" s="291"/>
      <c r="F802" s="291"/>
      <c r="G802" s="291"/>
      <c r="H802" s="291"/>
      <c r="I802" s="291"/>
      <c r="J802" s="342"/>
    </row>
    <row r="803" spans="1:10" ht="12.75" customHeight="1">
      <c r="A803" s="356"/>
      <c r="B803" s="291"/>
      <c r="C803" s="291"/>
      <c r="D803" s="291"/>
      <c r="E803" s="291"/>
      <c r="F803" s="291"/>
      <c r="G803" s="291"/>
      <c r="H803" s="291"/>
      <c r="I803" s="291"/>
      <c r="J803" s="342"/>
    </row>
    <row r="804" spans="1:10" ht="12.75" customHeight="1">
      <c r="A804" s="356"/>
      <c r="B804" s="291"/>
      <c r="C804" s="291"/>
      <c r="D804" s="291"/>
      <c r="E804" s="291"/>
      <c r="F804" s="291"/>
      <c r="G804" s="291"/>
      <c r="H804" s="291"/>
      <c r="I804" s="291"/>
      <c r="J804" s="342"/>
    </row>
    <row r="805" spans="1:10" ht="12.75" customHeight="1">
      <c r="A805" s="356"/>
      <c r="B805" s="291"/>
      <c r="C805" s="291"/>
      <c r="D805" s="291"/>
      <c r="E805" s="291"/>
      <c r="F805" s="291"/>
      <c r="G805" s="291"/>
      <c r="H805" s="291"/>
      <c r="I805" s="291"/>
      <c r="J805" s="342"/>
    </row>
    <row r="806" spans="1:10" ht="12.75" customHeight="1">
      <c r="A806" s="356"/>
      <c r="B806" s="291"/>
      <c r="C806" s="291"/>
      <c r="D806" s="291"/>
      <c r="E806" s="291"/>
      <c r="F806" s="291"/>
      <c r="G806" s="291"/>
      <c r="H806" s="291"/>
      <c r="I806" s="291"/>
      <c r="J806" s="342"/>
    </row>
    <row r="807" spans="1:10" ht="12.75" customHeight="1">
      <c r="A807" s="356"/>
      <c r="B807" s="291"/>
      <c r="C807" s="291"/>
      <c r="D807" s="291"/>
      <c r="E807" s="291"/>
      <c r="F807" s="291"/>
      <c r="G807" s="291"/>
      <c r="H807" s="291"/>
      <c r="I807" s="291"/>
      <c r="J807" s="342"/>
    </row>
    <row r="808" spans="1:10" ht="12.75" customHeight="1">
      <c r="A808" s="356"/>
      <c r="B808" s="291"/>
      <c r="C808" s="291"/>
      <c r="D808" s="291"/>
      <c r="E808" s="291"/>
      <c r="F808" s="291"/>
      <c r="G808" s="291"/>
      <c r="H808" s="291"/>
      <c r="I808" s="291"/>
      <c r="J808" s="342"/>
    </row>
    <row r="809" spans="1:10" ht="12.75" customHeight="1">
      <c r="A809" s="353"/>
      <c r="B809" s="301"/>
      <c r="C809" s="301"/>
      <c r="D809" s="301"/>
      <c r="E809" s="301"/>
      <c r="F809" s="301"/>
      <c r="G809" s="301"/>
      <c r="H809" s="301"/>
      <c r="I809" s="301"/>
      <c r="J809" s="303"/>
    </row>
    <row r="810" spans="1:10" ht="12.75" customHeight="1"/>
    <row r="811" spans="1:10" ht="12.75" customHeight="1">
      <c r="A811" s="286" t="s">
        <v>69</v>
      </c>
      <c r="B811" s="287"/>
      <c r="C811" s="287"/>
      <c r="D811" s="287"/>
      <c r="E811" s="287"/>
      <c r="F811" s="287"/>
      <c r="G811" s="287"/>
      <c r="H811" s="288" t="str">
        <f>'[1]CONTACT INFORMATION'!$A$24</f>
        <v>San Francisco</v>
      </c>
      <c r="I811" s="287"/>
      <c r="J811" s="289"/>
    </row>
    <row r="812" spans="1:10" ht="7.5" customHeight="1">
      <c r="A812" s="157"/>
      <c r="B812" s="156"/>
      <c r="C812" s="156"/>
      <c r="D812" s="156"/>
      <c r="E812" s="156"/>
      <c r="F812" s="156"/>
      <c r="G812" s="156"/>
      <c r="H812" s="156"/>
      <c r="I812" s="156"/>
      <c r="J812" s="155"/>
    </row>
    <row r="813" spans="1:10" ht="12.75" customHeight="1">
      <c r="A813" s="310" t="s">
        <v>183</v>
      </c>
      <c r="B813" s="287"/>
      <c r="C813" s="287"/>
      <c r="D813" s="287"/>
      <c r="E813" s="287"/>
      <c r="F813" s="287"/>
      <c r="G813" s="287"/>
      <c r="H813" s="287"/>
      <c r="I813" s="287"/>
      <c r="J813" s="289"/>
    </row>
    <row r="814" spans="1:10" ht="12.75" customHeight="1">
      <c r="A814" s="311" t="s">
        <v>144</v>
      </c>
      <c r="B814" s="312"/>
      <c r="C814" s="312"/>
      <c r="D814" s="313"/>
      <c r="E814" s="354"/>
      <c r="F814" s="312"/>
      <c r="G814" s="312"/>
      <c r="H814" s="312"/>
      <c r="I814" s="312"/>
      <c r="J814" s="313"/>
    </row>
    <row r="815" spans="1:10" ht="12.75" customHeight="1">
      <c r="A815" s="320" t="s">
        <v>171</v>
      </c>
      <c r="B815" s="301"/>
      <c r="C815" s="301"/>
      <c r="D815" s="303"/>
      <c r="E815" s="353"/>
      <c r="F815" s="301"/>
      <c r="G815" s="301"/>
      <c r="H815" s="301"/>
      <c r="I815" s="301"/>
      <c r="J815" s="303"/>
    </row>
    <row r="816" spans="1:10" ht="12.75" customHeight="1">
      <c r="A816" s="296" t="s">
        <v>930</v>
      </c>
      <c r="B816" s="287"/>
      <c r="C816" s="287"/>
      <c r="D816" s="289"/>
      <c r="E816" s="321"/>
      <c r="F816" s="287"/>
      <c r="G816" s="287"/>
      <c r="H816" s="287"/>
      <c r="I816" s="287"/>
      <c r="J816" s="289"/>
    </row>
    <row r="817" spans="1:10" ht="27" customHeight="1">
      <c r="A817" s="153"/>
      <c r="B817" s="152"/>
      <c r="C817" s="152"/>
      <c r="D817" s="152"/>
      <c r="E817" s="300" t="s">
        <v>147</v>
      </c>
      <c r="F817" s="301"/>
      <c r="G817" s="300" t="s">
        <v>148</v>
      </c>
      <c r="H817" s="301"/>
      <c r="I817" s="302" t="s">
        <v>149</v>
      </c>
      <c r="J817" s="303"/>
    </row>
    <row r="818" spans="1:10" ht="12.75" customHeight="1">
      <c r="A818" s="297" t="s">
        <v>150</v>
      </c>
      <c r="B818" s="287"/>
      <c r="C818" s="287"/>
      <c r="D818" s="289"/>
      <c r="E818" s="298"/>
      <c r="F818" s="289"/>
      <c r="G818" s="298"/>
      <c r="H818" s="289"/>
      <c r="I818" s="299"/>
      <c r="J818" s="289"/>
    </row>
    <row r="819" spans="1:10" ht="12.75" customHeight="1">
      <c r="A819" s="305" t="s">
        <v>151</v>
      </c>
      <c r="B819" s="287"/>
      <c r="C819" s="287"/>
      <c r="D819" s="289"/>
      <c r="E819" s="306"/>
      <c r="F819" s="289"/>
      <c r="G819" s="322"/>
      <c r="H819" s="289"/>
      <c r="I819" s="323"/>
      <c r="J819" s="289"/>
    </row>
    <row r="820" spans="1:10" ht="12.75" customHeight="1">
      <c r="A820" s="297" t="s">
        <v>152</v>
      </c>
      <c r="B820" s="287"/>
      <c r="C820" s="287"/>
      <c r="D820" s="289"/>
      <c r="E820" s="298"/>
      <c r="F820" s="289"/>
      <c r="G820" s="298"/>
      <c r="H820" s="289"/>
      <c r="I820" s="299"/>
      <c r="J820" s="289"/>
    </row>
    <row r="821" spans="1:10" ht="12.75" customHeight="1">
      <c r="A821" s="305" t="s">
        <v>153</v>
      </c>
      <c r="B821" s="287"/>
      <c r="C821" s="287"/>
      <c r="D821" s="289"/>
      <c r="E821" s="306"/>
      <c r="F821" s="289"/>
      <c r="G821" s="322"/>
      <c r="H821" s="289"/>
      <c r="I821" s="323"/>
      <c r="J821" s="289"/>
    </row>
    <row r="822" spans="1:10" ht="12.75" customHeight="1">
      <c r="A822" s="297" t="s">
        <v>154</v>
      </c>
      <c r="B822" s="287"/>
      <c r="C822" s="287"/>
      <c r="D822" s="289"/>
      <c r="E822" s="298"/>
      <c r="F822" s="289"/>
      <c r="G822" s="298"/>
      <c r="H822" s="289"/>
      <c r="I822" s="299"/>
      <c r="J822" s="289"/>
    </row>
    <row r="823" spans="1:10" ht="12.75" customHeight="1">
      <c r="A823" s="305" t="s">
        <v>155</v>
      </c>
      <c r="B823" s="287"/>
      <c r="C823" s="287"/>
      <c r="D823" s="289"/>
      <c r="E823" s="306"/>
      <c r="F823" s="289"/>
      <c r="G823" s="322"/>
      <c r="H823" s="289"/>
      <c r="I823" s="323"/>
      <c r="J823" s="289"/>
    </row>
    <row r="824" spans="1:10" ht="12.75" customHeight="1">
      <c r="A824" s="297" t="s">
        <v>156</v>
      </c>
      <c r="B824" s="287"/>
      <c r="C824" s="287"/>
      <c r="D824" s="289"/>
      <c r="E824" s="325"/>
      <c r="F824" s="289"/>
      <c r="G824" s="325"/>
      <c r="H824" s="289"/>
      <c r="I824" s="326"/>
      <c r="J824" s="289"/>
    </row>
    <row r="825" spans="1:10" ht="12.75" customHeight="1">
      <c r="A825" s="324"/>
      <c r="B825" s="287"/>
      <c r="C825" s="287"/>
      <c r="D825" s="289"/>
      <c r="E825" s="306"/>
      <c r="F825" s="289"/>
      <c r="G825" s="322"/>
      <c r="H825" s="289"/>
      <c r="I825" s="322"/>
      <c r="J825" s="289"/>
    </row>
    <row r="826" spans="1:10" ht="12.75" customHeight="1">
      <c r="A826" s="324"/>
      <c r="B826" s="287"/>
      <c r="C826" s="287"/>
      <c r="D826" s="289"/>
      <c r="E826" s="306"/>
      <c r="F826" s="289"/>
      <c r="G826" s="322"/>
      <c r="H826" s="289"/>
      <c r="I826" s="322"/>
      <c r="J826" s="289"/>
    </row>
    <row r="827" spans="1:10" ht="12.75" customHeight="1">
      <c r="A827" s="324"/>
      <c r="B827" s="287"/>
      <c r="C827" s="287"/>
      <c r="D827" s="289"/>
      <c r="E827" s="306"/>
      <c r="F827" s="289"/>
      <c r="G827" s="322"/>
      <c r="H827" s="289"/>
      <c r="I827" s="322"/>
      <c r="J827" s="289"/>
    </row>
    <row r="828" spans="1:10" ht="12.75" customHeight="1">
      <c r="A828" s="337" t="s">
        <v>157</v>
      </c>
      <c r="B828" s="287"/>
      <c r="C828" s="287"/>
      <c r="D828" s="289"/>
      <c r="E828" s="338">
        <f>SUM(E818:E827)</f>
        <v>0</v>
      </c>
      <c r="F828" s="289"/>
      <c r="G828" s="338">
        <f>SUM(G818:G827)</f>
        <v>0</v>
      </c>
      <c r="H828" s="289"/>
      <c r="I828" s="338">
        <f>SUM(I818:I827)</f>
        <v>0</v>
      </c>
      <c r="J828" s="289"/>
    </row>
    <row r="829" spans="1:10" ht="12.75" customHeight="1">
      <c r="A829" s="339" t="s">
        <v>158</v>
      </c>
      <c r="B829" s="312"/>
      <c r="C829" s="312"/>
      <c r="D829" s="312"/>
      <c r="E829" s="312"/>
      <c r="F829" s="312"/>
      <c r="G829" s="312"/>
      <c r="H829" s="312"/>
      <c r="I829" s="312"/>
      <c r="J829" s="313"/>
    </row>
    <row r="830" spans="1:10" ht="12.75" customHeight="1">
      <c r="A830" s="340" t="s">
        <v>159</v>
      </c>
      <c r="B830" s="341"/>
      <c r="C830" s="341"/>
      <c r="D830" s="341"/>
      <c r="E830" s="341"/>
      <c r="F830" s="341"/>
      <c r="G830" s="341"/>
      <c r="H830" s="341"/>
      <c r="I830" s="341"/>
      <c r="J830" s="342"/>
    </row>
    <row r="831" spans="1:10" ht="12.75" customHeight="1">
      <c r="A831" s="340" t="s">
        <v>160</v>
      </c>
      <c r="B831" s="341"/>
      <c r="C831" s="341"/>
      <c r="D831" s="341"/>
      <c r="E831" s="341"/>
      <c r="F831" s="341"/>
      <c r="G831" s="341"/>
      <c r="H831" s="341"/>
      <c r="I831" s="341"/>
      <c r="J831" s="342"/>
    </row>
    <row r="832" spans="1:10" ht="12.75" customHeight="1">
      <c r="A832" s="336" t="s">
        <v>161</v>
      </c>
      <c r="B832" s="301"/>
      <c r="C832" s="301"/>
      <c r="D832" s="301"/>
      <c r="E832" s="301"/>
      <c r="F832" s="301"/>
      <c r="G832" s="301"/>
      <c r="H832" s="301"/>
      <c r="I832" s="301"/>
      <c r="J832" s="303"/>
    </row>
    <row r="833" spans="1:10" ht="12.75" customHeight="1">
      <c r="A833" s="355"/>
      <c r="B833" s="312"/>
      <c r="C833" s="312"/>
      <c r="D833" s="312"/>
      <c r="E833" s="312"/>
      <c r="F833" s="312"/>
      <c r="G833" s="312"/>
      <c r="H833" s="312"/>
      <c r="I833" s="312"/>
      <c r="J833" s="313"/>
    </row>
    <row r="834" spans="1:10" ht="12.75" customHeight="1">
      <c r="A834" s="356"/>
      <c r="B834" s="291"/>
      <c r="C834" s="291"/>
      <c r="D834" s="291"/>
      <c r="E834" s="291"/>
      <c r="F834" s="291"/>
      <c r="G834" s="291"/>
      <c r="H834" s="291"/>
      <c r="I834" s="291"/>
      <c r="J834" s="342"/>
    </row>
    <row r="835" spans="1:10" ht="12.75" customHeight="1">
      <c r="A835" s="356"/>
      <c r="B835" s="291"/>
      <c r="C835" s="291"/>
      <c r="D835" s="291"/>
      <c r="E835" s="291"/>
      <c r="F835" s="291"/>
      <c r="G835" s="291"/>
      <c r="H835" s="291"/>
      <c r="I835" s="291"/>
      <c r="J835" s="342"/>
    </row>
    <row r="836" spans="1:10" ht="12.75" customHeight="1">
      <c r="A836" s="356"/>
      <c r="B836" s="291"/>
      <c r="C836" s="291"/>
      <c r="D836" s="291"/>
      <c r="E836" s="291"/>
      <c r="F836" s="291"/>
      <c r="G836" s="291"/>
      <c r="H836" s="291"/>
      <c r="I836" s="291"/>
      <c r="J836" s="342"/>
    </row>
    <row r="837" spans="1:10" ht="12.75" customHeight="1">
      <c r="A837" s="356"/>
      <c r="B837" s="291"/>
      <c r="C837" s="291"/>
      <c r="D837" s="291"/>
      <c r="E837" s="291"/>
      <c r="F837" s="291"/>
      <c r="G837" s="291"/>
      <c r="H837" s="291"/>
      <c r="I837" s="291"/>
      <c r="J837" s="342"/>
    </row>
    <row r="838" spans="1:10" ht="12.75" customHeight="1">
      <c r="A838" s="356"/>
      <c r="B838" s="291"/>
      <c r="C838" s="291"/>
      <c r="D838" s="291"/>
      <c r="E838" s="291"/>
      <c r="F838" s="291"/>
      <c r="G838" s="291"/>
      <c r="H838" s="291"/>
      <c r="I838" s="291"/>
      <c r="J838" s="342"/>
    </row>
    <row r="839" spans="1:10" ht="12.75" customHeight="1">
      <c r="A839" s="356"/>
      <c r="B839" s="291"/>
      <c r="C839" s="291"/>
      <c r="D839" s="291"/>
      <c r="E839" s="291"/>
      <c r="F839" s="291"/>
      <c r="G839" s="291"/>
      <c r="H839" s="291"/>
      <c r="I839" s="291"/>
      <c r="J839" s="342"/>
    </row>
    <row r="840" spans="1:10" ht="12.75" customHeight="1">
      <c r="A840" s="356"/>
      <c r="B840" s="291"/>
      <c r="C840" s="291"/>
      <c r="D840" s="291"/>
      <c r="E840" s="291"/>
      <c r="F840" s="291"/>
      <c r="G840" s="291"/>
      <c r="H840" s="291"/>
      <c r="I840" s="291"/>
      <c r="J840" s="342"/>
    </row>
    <row r="841" spans="1:10" ht="12.75" customHeight="1">
      <c r="A841" s="356"/>
      <c r="B841" s="291"/>
      <c r="C841" s="291"/>
      <c r="D841" s="291"/>
      <c r="E841" s="291"/>
      <c r="F841" s="291"/>
      <c r="G841" s="291"/>
      <c r="H841" s="291"/>
      <c r="I841" s="291"/>
      <c r="J841" s="342"/>
    </row>
    <row r="842" spans="1:10" ht="12.75" customHeight="1">
      <c r="A842" s="356"/>
      <c r="B842" s="291"/>
      <c r="C842" s="291"/>
      <c r="D842" s="291"/>
      <c r="E842" s="291"/>
      <c r="F842" s="291"/>
      <c r="G842" s="291"/>
      <c r="H842" s="291"/>
      <c r="I842" s="291"/>
      <c r="J842" s="342"/>
    </row>
    <row r="843" spans="1:10" ht="12.75" customHeight="1">
      <c r="A843" s="356"/>
      <c r="B843" s="291"/>
      <c r="C843" s="291"/>
      <c r="D843" s="291"/>
      <c r="E843" s="291"/>
      <c r="F843" s="291"/>
      <c r="G843" s="291"/>
      <c r="H843" s="291"/>
      <c r="I843" s="291"/>
      <c r="J843" s="342"/>
    </row>
    <row r="844" spans="1:10" ht="12.75" customHeight="1">
      <c r="A844" s="356"/>
      <c r="B844" s="291"/>
      <c r="C844" s="291"/>
      <c r="D844" s="291"/>
      <c r="E844" s="291"/>
      <c r="F844" s="291"/>
      <c r="G844" s="291"/>
      <c r="H844" s="291"/>
      <c r="I844" s="291"/>
      <c r="J844" s="342"/>
    </row>
    <row r="845" spans="1:10" ht="12.75" customHeight="1">
      <c r="A845" s="356"/>
      <c r="B845" s="291"/>
      <c r="C845" s="291"/>
      <c r="D845" s="291"/>
      <c r="E845" s="291"/>
      <c r="F845" s="291"/>
      <c r="G845" s="291"/>
      <c r="H845" s="291"/>
      <c r="I845" s="291"/>
      <c r="J845" s="342"/>
    </row>
    <row r="846" spans="1:10" ht="12.75" customHeight="1">
      <c r="A846" s="356"/>
      <c r="B846" s="291"/>
      <c r="C846" s="291"/>
      <c r="D846" s="291"/>
      <c r="E846" s="291"/>
      <c r="F846" s="291"/>
      <c r="G846" s="291"/>
      <c r="H846" s="291"/>
      <c r="I846" s="291"/>
      <c r="J846" s="342"/>
    </row>
    <row r="847" spans="1:10" ht="12.75" customHeight="1">
      <c r="A847" s="356"/>
      <c r="B847" s="291"/>
      <c r="C847" s="291"/>
      <c r="D847" s="291"/>
      <c r="E847" s="291"/>
      <c r="F847" s="291"/>
      <c r="G847" s="291"/>
      <c r="H847" s="291"/>
      <c r="I847" s="291"/>
      <c r="J847" s="342"/>
    </row>
    <row r="848" spans="1:10" ht="12.75" customHeight="1">
      <c r="A848" s="356"/>
      <c r="B848" s="291"/>
      <c r="C848" s="291"/>
      <c r="D848" s="291"/>
      <c r="E848" s="291"/>
      <c r="F848" s="291"/>
      <c r="G848" s="291"/>
      <c r="H848" s="291"/>
      <c r="I848" s="291"/>
      <c r="J848" s="342"/>
    </row>
    <row r="849" spans="1:10" ht="12.75" customHeight="1">
      <c r="A849" s="356"/>
      <c r="B849" s="291"/>
      <c r="C849" s="291"/>
      <c r="D849" s="291"/>
      <c r="E849" s="291"/>
      <c r="F849" s="291"/>
      <c r="G849" s="291"/>
      <c r="H849" s="291"/>
      <c r="I849" s="291"/>
      <c r="J849" s="342"/>
    </row>
    <row r="850" spans="1:10" ht="12.75" customHeight="1">
      <c r="A850" s="356"/>
      <c r="B850" s="291"/>
      <c r="C850" s="291"/>
      <c r="D850" s="291"/>
      <c r="E850" s="291"/>
      <c r="F850" s="291"/>
      <c r="G850" s="291"/>
      <c r="H850" s="291"/>
      <c r="I850" s="291"/>
      <c r="J850" s="342"/>
    </row>
    <row r="851" spans="1:10" ht="12.75" customHeight="1">
      <c r="A851" s="356"/>
      <c r="B851" s="291"/>
      <c r="C851" s="291"/>
      <c r="D851" s="291"/>
      <c r="E851" s="291"/>
      <c r="F851" s="291"/>
      <c r="G851" s="291"/>
      <c r="H851" s="291"/>
      <c r="I851" s="291"/>
      <c r="J851" s="342"/>
    </row>
    <row r="852" spans="1:10" ht="12.75" customHeight="1">
      <c r="A852" s="356"/>
      <c r="B852" s="291"/>
      <c r="C852" s="291"/>
      <c r="D852" s="291"/>
      <c r="E852" s="291"/>
      <c r="F852" s="291"/>
      <c r="G852" s="291"/>
      <c r="H852" s="291"/>
      <c r="I852" s="291"/>
      <c r="J852" s="342"/>
    </row>
    <row r="853" spans="1:10" ht="12.75" customHeight="1">
      <c r="A853" s="356"/>
      <c r="B853" s="291"/>
      <c r="C853" s="291"/>
      <c r="D853" s="291"/>
      <c r="E853" s="291"/>
      <c r="F853" s="291"/>
      <c r="G853" s="291"/>
      <c r="H853" s="291"/>
      <c r="I853" s="291"/>
      <c r="J853" s="342"/>
    </row>
    <row r="854" spans="1:10" ht="12.75" customHeight="1">
      <c r="A854" s="356"/>
      <c r="B854" s="291"/>
      <c r="C854" s="291"/>
      <c r="D854" s="291"/>
      <c r="E854" s="291"/>
      <c r="F854" s="291"/>
      <c r="G854" s="291"/>
      <c r="H854" s="291"/>
      <c r="I854" s="291"/>
      <c r="J854" s="342"/>
    </row>
    <row r="855" spans="1:10" ht="12.75" customHeight="1">
      <c r="A855" s="356"/>
      <c r="B855" s="291"/>
      <c r="C855" s="291"/>
      <c r="D855" s="291"/>
      <c r="E855" s="291"/>
      <c r="F855" s="291"/>
      <c r="G855" s="291"/>
      <c r="H855" s="291"/>
      <c r="I855" s="291"/>
      <c r="J855" s="342"/>
    </row>
    <row r="856" spans="1:10" ht="12.75" customHeight="1">
      <c r="A856" s="356"/>
      <c r="B856" s="291"/>
      <c r="C856" s="291"/>
      <c r="D856" s="291"/>
      <c r="E856" s="291"/>
      <c r="F856" s="291"/>
      <c r="G856" s="291"/>
      <c r="H856" s="291"/>
      <c r="I856" s="291"/>
      <c r="J856" s="342"/>
    </row>
    <row r="857" spans="1:10" ht="12.75" customHeight="1">
      <c r="A857" s="356"/>
      <c r="B857" s="291"/>
      <c r="C857" s="291"/>
      <c r="D857" s="291"/>
      <c r="E857" s="291"/>
      <c r="F857" s="291"/>
      <c r="G857" s="291"/>
      <c r="H857" s="291"/>
      <c r="I857" s="291"/>
      <c r="J857" s="342"/>
    </row>
    <row r="858" spans="1:10" ht="12.75" customHeight="1">
      <c r="A858" s="356"/>
      <c r="B858" s="291"/>
      <c r="C858" s="291"/>
      <c r="D858" s="291"/>
      <c r="E858" s="291"/>
      <c r="F858" s="291"/>
      <c r="G858" s="291"/>
      <c r="H858" s="291"/>
      <c r="I858" s="291"/>
      <c r="J858" s="342"/>
    </row>
    <row r="859" spans="1:10" ht="12.75" customHeight="1">
      <c r="A859" s="356"/>
      <c r="B859" s="291"/>
      <c r="C859" s="291"/>
      <c r="D859" s="291"/>
      <c r="E859" s="291"/>
      <c r="F859" s="291"/>
      <c r="G859" s="291"/>
      <c r="H859" s="291"/>
      <c r="I859" s="291"/>
      <c r="J859" s="342"/>
    </row>
    <row r="860" spans="1:10" ht="12.75" customHeight="1">
      <c r="A860" s="356"/>
      <c r="B860" s="291"/>
      <c r="C860" s="291"/>
      <c r="D860" s="291"/>
      <c r="E860" s="291"/>
      <c r="F860" s="291"/>
      <c r="G860" s="291"/>
      <c r="H860" s="291"/>
      <c r="I860" s="291"/>
      <c r="J860" s="342"/>
    </row>
    <row r="861" spans="1:10" ht="12.75" customHeight="1">
      <c r="A861" s="356"/>
      <c r="B861" s="291"/>
      <c r="C861" s="291"/>
      <c r="D861" s="291"/>
      <c r="E861" s="291"/>
      <c r="F861" s="291"/>
      <c r="G861" s="291"/>
      <c r="H861" s="291"/>
      <c r="I861" s="291"/>
      <c r="J861" s="342"/>
    </row>
    <row r="862" spans="1:10" ht="12.75" customHeight="1">
      <c r="A862" s="356"/>
      <c r="B862" s="291"/>
      <c r="C862" s="291"/>
      <c r="D862" s="291"/>
      <c r="E862" s="291"/>
      <c r="F862" s="291"/>
      <c r="G862" s="291"/>
      <c r="H862" s="291"/>
      <c r="I862" s="291"/>
      <c r="J862" s="342"/>
    </row>
    <row r="863" spans="1:10" ht="12.75" customHeight="1">
      <c r="A863" s="356"/>
      <c r="B863" s="291"/>
      <c r="C863" s="291"/>
      <c r="D863" s="291"/>
      <c r="E863" s="291"/>
      <c r="F863" s="291"/>
      <c r="G863" s="291"/>
      <c r="H863" s="291"/>
      <c r="I863" s="291"/>
      <c r="J863" s="342"/>
    </row>
    <row r="864" spans="1:10" ht="12.75" customHeight="1">
      <c r="A864" s="356"/>
      <c r="B864" s="291"/>
      <c r="C864" s="291"/>
      <c r="D864" s="291"/>
      <c r="E864" s="291"/>
      <c r="F864" s="291"/>
      <c r="G864" s="291"/>
      <c r="H864" s="291"/>
      <c r="I864" s="291"/>
      <c r="J864" s="342"/>
    </row>
    <row r="865" spans="1:10" ht="12.75" customHeight="1">
      <c r="A865" s="356"/>
      <c r="B865" s="291"/>
      <c r="C865" s="291"/>
      <c r="D865" s="291"/>
      <c r="E865" s="291"/>
      <c r="F865" s="291"/>
      <c r="G865" s="291"/>
      <c r="H865" s="291"/>
      <c r="I865" s="291"/>
      <c r="J865" s="342"/>
    </row>
    <row r="866" spans="1:10" ht="12.75" customHeight="1">
      <c r="A866" s="356"/>
      <c r="B866" s="291"/>
      <c r="C866" s="291"/>
      <c r="D866" s="291"/>
      <c r="E866" s="291"/>
      <c r="F866" s="291"/>
      <c r="G866" s="291"/>
      <c r="H866" s="291"/>
      <c r="I866" s="291"/>
      <c r="J866" s="342"/>
    </row>
    <row r="867" spans="1:10" ht="12.75" customHeight="1">
      <c r="A867" s="353"/>
      <c r="B867" s="301"/>
      <c r="C867" s="301"/>
      <c r="D867" s="301"/>
      <c r="E867" s="301"/>
      <c r="F867" s="301"/>
      <c r="G867" s="301"/>
      <c r="H867" s="301"/>
      <c r="I867" s="301"/>
      <c r="J867" s="303"/>
    </row>
    <row r="868" spans="1:10" ht="12.75" customHeight="1"/>
    <row r="869" spans="1:10" ht="12.75" customHeight="1">
      <c r="A869" s="286" t="s">
        <v>69</v>
      </c>
      <c r="B869" s="287"/>
      <c r="C869" s="287"/>
      <c r="D869" s="287"/>
      <c r="E869" s="287"/>
      <c r="F869" s="287"/>
      <c r="G869" s="287"/>
      <c r="H869" s="288" t="str">
        <f>'[1]CONTACT INFORMATION'!$A$24</f>
        <v>San Francisco</v>
      </c>
      <c r="I869" s="287"/>
      <c r="J869" s="289"/>
    </row>
    <row r="870" spans="1:10" ht="8.25" customHeight="1">
      <c r="A870" s="154"/>
      <c r="B870" s="154"/>
      <c r="C870" s="154"/>
      <c r="D870" s="154"/>
      <c r="E870" s="154"/>
      <c r="F870" s="154"/>
      <c r="G870" s="154"/>
      <c r="H870" s="154"/>
      <c r="I870" s="154"/>
      <c r="J870" s="154"/>
    </row>
    <row r="871" spans="1:10" ht="12.75" customHeight="1">
      <c r="A871" s="310" t="s">
        <v>184</v>
      </c>
      <c r="B871" s="287"/>
      <c r="C871" s="287"/>
      <c r="D871" s="287"/>
      <c r="E871" s="287"/>
      <c r="F871" s="287"/>
      <c r="G871" s="287"/>
      <c r="H871" s="287"/>
      <c r="I871" s="287"/>
      <c r="J871" s="289"/>
    </row>
    <row r="872" spans="1:10" ht="12.75" customHeight="1">
      <c r="A872" s="311" t="s">
        <v>144</v>
      </c>
      <c r="B872" s="312"/>
      <c r="C872" s="312"/>
      <c r="D872" s="313"/>
      <c r="E872" s="354"/>
      <c r="F872" s="312"/>
      <c r="G872" s="312"/>
      <c r="H872" s="312"/>
      <c r="I872" s="312"/>
      <c r="J872" s="313"/>
    </row>
    <row r="873" spans="1:10" ht="12.75" customHeight="1">
      <c r="A873" s="320" t="s">
        <v>171</v>
      </c>
      <c r="B873" s="301"/>
      <c r="C873" s="301"/>
      <c r="D873" s="303"/>
      <c r="E873" s="353"/>
      <c r="F873" s="301"/>
      <c r="G873" s="301"/>
      <c r="H873" s="301"/>
      <c r="I873" s="301"/>
      <c r="J873" s="303"/>
    </row>
    <row r="874" spans="1:10" ht="12.75" customHeight="1">
      <c r="A874" s="296" t="s">
        <v>930</v>
      </c>
      <c r="B874" s="287"/>
      <c r="C874" s="287"/>
      <c r="D874" s="289"/>
      <c r="E874" s="321"/>
      <c r="F874" s="287"/>
      <c r="G874" s="287"/>
      <c r="H874" s="287"/>
      <c r="I874" s="287"/>
      <c r="J874" s="289"/>
    </row>
    <row r="875" spans="1:10" ht="27" customHeight="1">
      <c r="A875" s="153"/>
      <c r="B875" s="152"/>
      <c r="C875" s="152"/>
      <c r="D875" s="152"/>
      <c r="E875" s="300" t="s">
        <v>147</v>
      </c>
      <c r="F875" s="301"/>
      <c r="G875" s="300" t="s">
        <v>148</v>
      </c>
      <c r="H875" s="301"/>
      <c r="I875" s="302" t="s">
        <v>149</v>
      </c>
      <c r="J875" s="303"/>
    </row>
    <row r="876" spans="1:10" ht="12.75" customHeight="1">
      <c r="A876" s="297" t="s">
        <v>150</v>
      </c>
      <c r="B876" s="287"/>
      <c r="C876" s="287"/>
      <c r="D876" s="289"/>
      <c r="E876" s="298"/>
      <c r="F876" s="289"/>
      <c r="G876" s="298"/>
      <c r="H876" s="289"/>
      <c r="I876" s="299"/>
      <c r="J876" s="289"/>
    </row>
    <row r="877" spans="1:10" ht="12.75" customHeight="1">
      <c r="A877" s="305" t="s">
        <v>151</v>
      </c>
      <c r="B877" s="287"/>
      <c r="C877" s="287"/>
      <c r="D877" s="289"/>
      <c r="E877" s="306"/>
      <c r="F877" s="289"/>
      <c r="G877" s="322"/>
      <c r="H877" s="289"/>
      <c r="I877" s="323"/>
      <c r="J877" s="289"/>
    </row>
    <row r="878" spans="1:10" ht="12.75" customHeight="1">
      <c r="A878" s="297" t="s">
        <v>152</v>
      </c>
      <c r="B878" s="287"/>
      <c r="C878" s="287"/>
      <c r="D878" s="289"/>
      <c r="E878" s="298"/>
      <c r="F878" s="289"/>
      <c r="G878" s="298"/>
      <c r="H878" s="289"/>
      <c r="I878" s="299"/>
      <c r="J878" s="289"/>
    </row>
    <row r="879" spans="1:10" ht="12.75" customHeight="1">
      <c r="A879" s="305" t="s">
        <v>153</v>
      </c>
      <c r="B879" s="287"/>
      <c r="C879" s="287"/>
      <c r="D879" s="289"/>
      <c r="E879" s="306"/>
      <c r="F879" s="289"/>
      <c r="G879" s="322"/>
      <c r="H879" s="289"/>
      <c r="I879" s="323"/>
      <c r="J879" s="289"/>
    </row>
    <row r="880" spans="1:10" ht="12.75" customHeight="1">
      <c r="A880" s="297" t="s">
        <v>154</v>
      </c>
      <c r="B880" s="287"/>
      <c r="C880" s="287"/>
      <c r="D880" s="289"/>
      <c r="E880" s="298"/>
      <c r="F880" s="289"/>
      <c r="G880" s="298"/>
      <c r="H880" s="289"/>
      <c r="I880" s="299"/>
      <c r="J880" s="289"/>
    </row>
    <row r="881" spans="1:10" ht="12.75" customHeight="1">
      <c r="A881" s="305" t="s">
        <v>155</v>
      </c>
      <c r="B881" s="287"/>
      <c r="C881" s="287"/>
      <c r="D881" s="289"/>
      <c r="E881" s="306"/>
      <c r="F881" s="289"/>
      <c r="G881" s="322"/>
      <c r="H881" s="289"/>
      <c r="I881" s="323"/>
      <c r="J881" s="289"/>
    </row>
    <row r="882" spans="1:10" ht="12.75" customHeight="1">
      <c r="A882" s="297" t="s">
        <v>156</v>
      </c>
      <c r="B882" s="287"/>
      <c r="C882" s="287"/>
      <c r="D882" s="289"/>
      <c r="E882" s="325"/>
      <c r="F882" s="289"/>
      <c r="G882" s="325"/>
      <c r="H882" s="289"/>
      <c r="I882" s="326"/>
      <c r="J882" s="289"/>
    </row>
    <row r="883" spans="1:10" ht="12.75" customHeight="1">
      <c r="A883" s="324"/>
      <c r="B883" s="287"/>
      <c r="C883" s="287"/>
      <c r="D883" s="289"/>
      <c r="E883" s="306"/>
      <c r="F883" s="289"/>
      <c r="G883" s="322"/>
      <c r="H883" s="289"/>
      <c r="I883" s="322"/>
      <c r="J883" s="289"/>
    </row>
    <row r="884" spans="1:10" ht="12.75" customHeight="1">
      <c r="A884" s="324"/>
      <c r="B884" s="287"/>
      <c r="C884" s="287"/>
      <c r="D884" s="289"/>
      <c r="E884" s="306"/>
      <c r="F884" s="289"/>
      <c r="G884" s="322"/>
      <c r="H884" s="289"/>
      <c r="I884" s="322"/>
      <c r="J884" s="289"/>
    </row>
    <row r="885" spans="1:10" ht="12.75" customHeight="1">
      <c r="A885" s="324"/>
      <c r="B885" s="287"/>
      <c r="C885" s="287"/>
      <c r="D885" s="289"/>
      <c r="E885" s="306"/>
      <c r="F885" s="289"/>
      <c r="G885" s="322"/>
      <c r="H885" s="289"/>
      <c r="I885" s="322"/>
      <c r="J885" s="289"/>
    </row>
    <row r="886" spans="1:10" ht="12.75" customHeight="1">
      <c r="A886" s="337" t="s">
        <v>157</v>
      </c>
      <c r="B886" s="287"/>
      <c r="C886" s="287"/>
      <c r="D886" s="289"/>
      <c r="E886" s="338">
        <f>SUM(E876:E885)</f>
        <v>0</v>
      </c>
      <c r="F886" s="289"/>
      <c r="G886" s="338">
        <f>SUM(G876:G885)</f>
        <v>0</v>
      </c>
      <c r="H886" s="289"/>
      <c r="I886" s="338">
        <f>SUM(I876:I885)</f>
        <v>0</v>
      </c>
      <c r="J886" s="289"/>
    </row>
    <row r="887" spans="1:10" ht="12.75" customHeight="1">
      <c r="A887" s="339" t="s">
        <v>158</v>
      </c>
      <c r="B887" s="312"/>
      <c r="C887" s="312"/>
      <c r="D887" s="312"/>
      <c r="E887" s="312"/>
      <c r="F887" s="312"/>
      <c r="G887" s="312"/>
      <c r="H887" s="312"/>
      <c r="I887" s="312"/>
      <c r="J887" s="313"/>
    </row>
    <row r="888" spans="1:10" ht="12.75" customHeight="1">
      <c r="A888" s="340" t="s">
        <v>159</v>
      </c>
      <c r="B888" s="341"/>
      <c r="C888" s="341"/>
      <c r="D888" s="341"/>
      <c r="E888" s="341"/>
      <c r="F888" s="341"/>
      <c r="G888" s="341"/>
      <c r="H888" s="341"/>
      <c r="I888" s="341"/>
      <c r="J888" s="342"/>
    </row>
    <row r="889" spans="1:10" ht="12.75" customHeight="1">
      <c r="A889" s="340" t="s">
        <v>160</v>
      </c>
      <c r="B889" s="341"/>
      <c r="C889" s="341"/>
      <c r="D889" s="341"/>
      <c r="E889" s="341"/>
      <c r="F889" s="341"/>
      <c r="G889" s="341"/>
      <c r="H889" s="341"/>
      <c r="I889" s="341"/>
      <c r="J889" s="342"/>
    </row>
    <row r="890" spans="1:10" ht="12.75" customHeight="1">
      <c r="A890" s="336" t="s">
        <v>161</v>
      </c>
      <c r="B890" s="301"/>
      <c r="C890" s="301"/>
      <c r="D890" s="301"/>
      <c r="E890" s="301"/>
      <c r="F890" s="301"/>
      <c r="G890" s="301"/>
      <c r="H890" s="301"/>
      <c r="I890" s="301"/>
      <c r="J890" s="303"/>
    </row>
    <row r="891" spans="1:10" ht="12.75" customHeight="1">
      <c r="A891" s="355"/>
      <c r="B891" s="312"/>
      <c r="C891" s="312"/>
      <c r="D891" s="312"/>
      <c r="E891" s="312"/>
      <c r="F891" s="312"/>
      <c r="G891" s="312"/>
      <c r="H891" s="312"/>
      <c r="I891" s="312"/>
      <c r="J891" s="313"/>
    </row>
    <row r="892" spans="1:10" ht="12.75" customHeight="1">
      <c r="A892" s="356"/>
      <c r="B892" s="291"/>
      <c r="C892" s="291"/>
      <c r="D892" s="291"/>
      <c r="E892" s="291"/>
      <c r="F892" s="291"/>
      <c r="G892" s="291"/>
      <c r="H892" s="291"/>
      <c r="I892" s="291"/>
      <c r="J892" s="342"/>
    </row>
    <row r="893" spans="1:10" ht="12.75" customHeight="1">
      <c r="A893" s="356"/>
      <c r="B893" s="291"/>
      <c r="C893" s="291"/>
      <c r="D893" s="291"/>
      <c r="E893" s="291"/>
      <c r="F893" s="291"/>
      <c r="G893" s="291"/>
      <c r="H893" s="291"/>
      <c r="I893" s="291"/>
      <c r="J893" s="342"/>
    </row>
    <row r="894" spans="1:10" ht="12.75" customHeight="1">
      <c r="A894" s="356"/>
      <c r="B894" s="291"/>
      <c r="C894" s="291"/>
      <c r="D894" s="291"/>
      <c r="E894" s="291"/>
      <c r="F894" s="291"/>
      <c r="G894" s="291"/>
      <c r="H894" s="291"/>
      <c r="I894" s="291"/>
      <c r="J894" s="342"/>
    </row>
    <row r="895" spans="1:10" ht="12.75" customHeight="1">
      <c r="A895" s="356"/>
      <c r="B895" s="291"/>
      <c r="C895" s="291"/>
      <c r="D895" s="291"/>
      <c r="E895" s="291"/>
      <c r="F895" s="291"/>
      <c r="G895" s="291"/>
      <c r="H895" s="291"/>
      <c r="I895" s="291"/>
      <c r="J895" s="342"/>
    </row>
    <row r="896" spans="1:10" ht="12.75" customHeight="1">
      <c r="A896" s="356"/>
      <c r="B896" s="291"/>
      <c r="C896" s="291"/>
      <c r="D896" s="291"/>
      <c r="E896" s="291"/>
      <c r="F896" s="291"/>
      <c r="G896" s="291"/>
      <c r="H896" s="291"/>
      <c r="I896" s="291"/>
      <c r="J896" s="342"/>
    </row>
    <row r="897" spans="1:10" ht="12.75" customHeight="1">
      <c r="A897" s="356"/>
      <c r="B897" s="291"/>
      <c r="C897" s="291"/>
      <c r="D897" s="291"/>
      <c r="E897" s="291"/>
      <c r="F897" s="291"/>
      <c r="G897" s="291"/>
      <c r="H897" s="291"/>
      <c r="I897" s="291"/>
      <c r="J897" s="342"/>
    </row>
    <row r="898" spans="1:10" ht="12.75" customHeight="1">
      <c r="A898" s="356"/>
      <c r="B898" s="291"/>
      <c r="C898" s="291"/>
      <c r="D898" s="291"/>
      <c r="E898" s="291"/>
      <c r="F898" s="291"/>
      <c r="G898" s="291"/>
      <c r="H898" s="291"/>
      <c r="I898" s="291"/>
      <c r="J898" s="342"/>
    </row>
    <row r="899" spans="1:10" ht="12.75" customHeight="1">
      <c r="A899" s="356"/>
      <c r="B899" s="291"/>
      <c r="C899" s="291"/>
      <c r="D899" s="291"/>
      <c r="E899" s="291"/>
      <c r="F899" s="291"/>
      <c r="G899" s="291"/>
      <c r="H899" s="291"/>
      <c r="I899" s="291"/>
      <c r="J899" s="342"/>
    </row>
    <row r="900" spans="1:10" ht="12.75" customHeight="1">
      <c r="A900" s="356"/>
      <c r="B900" s="291"/>
      <c r="C900" s="291"/>
      <c r="D900" s="291"/>
      <c r="E900" s="291"/>
      <c r="F900" s="291"/>
      <c r="G900" s="291"/>
      <c r="H900" s="291"/>
      <c r="I900" s="291"/>
      <c r="J900" s="342"/>
    </row>
    <row r="901" spans="1:10" ht="12.75" customHeight="1">
      <c r="A901" s="356"/>
      <c r="B901" s="291"/>
      <c r="C901" s="291"/>
      <c r="D901" s="291"/>
      <c r="E901" s="291"/>
      <c r="F901" s="291"/>
      <c r="G901" s="291"/>
      <c r="H901" s="291"/>
      <c r="I901" s="291"/>
      <c r="J901" s="342"/>
    </row>
    <row r="902" spans="1:10" ht="12.75" customHeight="1">
      <c r="A902" s="356"/>
      <c r="B902" s="291"/>
      <c r="C902" s="291"/>
      <c r="D902" s="291"/>
      <c r="E902" s="291"/>
      <c r="F902" s="291"/>
      <c r="G902" s="291"/>
      <c r="H902" s="291"/>
      <c r="I902" s="291"/>
      <c r="J902" s="342"/>
    </row>
    <row r="903" spans="1:10" ht="12.75" customHeight="1">
      <c r="A903" s="356"/>
      <c r="B903" s="291"/>
      <c r="C903" s="291"/>
      <c r="D903" s="291"/>
      <c r="E903" s="291"/>
      <c r="F903" s="291"/>
      <c r="G903" s="291"/>
      <c r="H903" s="291"/>
      <c r="I903" s="291"/>
      <c r="J903" s="342"/>
    </row>
    <row r="904" spans="1:10" ht="12.75" customHeight="1">
      <c r="A904" s="356"/>
      <c r="B904" s="291"/>
      <c r="C904" s="291"/>
      <c r="D904" s="291"/>
      <c r="E904" s="291"/>
      <c r="F904" s="291"/>
      <c r="G904" s="291"/>
      <c r="H904" s="291"/>
      <c r="I904" s="291"/>
      <c r="J904" s="342"/>
    </row>
    <row r="905" spans="1:10" ht="12.75" customHeight="1">
      <c r="A905" s="356"/>
      <c r="B905" s="291"/>
      <c r="C905" s="291"/>
      <c r="D905" s="291"/>
      <c r="E905" s="291"/>
      <c r="F905" s="291"/>
      <c r="G905" s="291"/>
      <c r="H905" s="291"/>
      <c r="I905" s="291"/>
      <c r="J905" s="342"/>
    </row>
    <row r="906" spans="1:10" ht="12.75" customHeight="1">
      <c r="A906" s="356"/>
      <c r="B906" s="291"/>
      <c r="C906" s="291"/>
      <c r="D906" s="291"/>
      <c r="E906" s="291"/>
      <c r="F906" s="291"/>
      <c r="G906" s="291"/>
      <c r="H906" s="291"/>
      <c r="I906" s="291"/>
      <c r="J906" s="342"/>
    </row>
    <row r="907" spans="1:10" ht="12.75" customHeight="1">
      <c r="A907" s="356"/>
      <c r="B907" s="291"/>
      <c r="C907" s="291"/>
      <c r="D907" s="291"/>
      <c r="E907" s="291"/>
      <c r="F907" s="291"/>
      <c r="G907" s="291"/>
      <c r="H907" s="291"/>
      <c r="I907" s="291"/>
      <c r="J907" s="342"/>
    </row>
    <row r="908" spans="1:10" ht="12.75" customHeight="1">
      <c r="A908" s="356"/>
      <c r="B908" s="291"/>
      <c r="C908" s="291"/>
      <c r="D908" s="291"/>
      <c r="E908" s="291"/>
      <c r="F908" s="291"/>
      <c r="G908" s="291"/>
      <c r="H908" s="291"/>
      <c r="I908" s="291"/>
      <c r="J908" s="342"/>
    </row>
    <row r="909" spans="1:10" ht="12.75" customHeight="1">
      <c r="A909" s="356"/>
      <c r="B909" s="291"/>
      <c r="C909" s="291"/>
      <c r="D909" s="291"/>
      <c r="E909" s="291"/>
      <c r="F909" s="291"/>
      <c r="G909" s="291"/>
      <c r="H909" s="291"/>
      <c r="I909" s="291"/>
      <c r="J909" s="342"/>
    </row>
    <row r="910" spans="1:10" ht="12.75" customHeight="1">
      <c r="A910" s="356"/>
      <c r="B910" s="291"/>
      <c r="C910" s="291"/>
      <c r="D910" s="291"/>
      <c r="E910" s="291"/>
      <c r="F910" s="291"/>
      <c r="G910" s="291"/>
      <c r="H910" s="291"/>
      <c r="I910" s="291"/>
      <c r="J910" s="342"/>
    </row>
    <row r="911" spans="1:10" ht="12.75" customHeight="1">
      <c r="A911" s="356"/>
      <c r="B911" s="291"/>
      <c r="C911" s="291"/>
      <c r="D911" s="291"/>
      <c r="E911" s="291"/>
      <c r="F911" s="291"/>
      <c r="G911" s="291"/>
      <c r="H911" s="291"/>
      <c r="I911" s="291"/>
      <c r="J911" s="342"/>
    </row>
    <row r="912" spans="1:10" ht="12.75" customHeight="1">
      <c r="A912" s="356"/>
      <c r="B912" s="291"/>
      <c r="C912" s="291"/>
      <c r="D912" s="291"/>
      <c r="E912" s="291"/>
      <c r="F912" s="291"/>
      <c r="G912" s="291"/>
      <c r="H912" s="291"/>
      <c r="I912" s="291"/>
      <c r="J912" s="342"/>
    </row>
    <row r="913" spans="1:10" ht="12.75" customHeight="1">
      <c r="A913" s="356"/>
      <c r="B913" s="291"/>
      <c r="C913" s="291"/>
      <c r="D913" s="291"/>
      <c r="E913" s="291"/>
      <c r="F913" s="291"/>
      <c r="G913" s="291"/>
      <c r="H913" s="291"/>
      <c r="I913" s="291"/>
      <c r="J913" s="342"/>
    </row>
    <row r="914" spans="1:10" ht="12.75" customHeight="1">
      <c r="A914" s="356"/>
      <c r="B914" s="291"/>
      <c r="C914" s="291"/>
      <c r="D914" s="291"/>
      <c r="E914" s="291"/>
      <c r="F914" s="291"/>
      <c r="G914" s="291"/>
      <c r="H914" s="291"/>
      <c r="I914" s="291"/>
      <c r="J914" s="342"/>
    </row>
    <row r="915" spans="1:10" ht="12.75" customHeight="1">
      <c r="A915" s="356"/>
      <c r="B915" s="291"/>
      <c r="C915" s="291"/>
      <c r="D915" s="291"/>
      <c r="E915" s="291"/>
      <c r="F915" s="291"/>
      <c r="G915" s="291"/>
      <c r="H915" s="291"/>
      <c r="I915" s="291"/>
      <c r="J915" s="342"/>
    </row>
    <row r="916" spans="1:10" ht="12.75" customHeight="1">
      <c r="A916" s="356"/>
      <c r="B916" s="291"/>
      <c r="C916" s="291"/>
      <c r="D916" s="291"/>
      <c r="E916" s="291"/>
      <c r="F916" s="291"/>
      <c r="G916" s="291"/>
      <c r="H916" s="291"/>
      <c r="I916" s="291"/>
      <c r="J916" s="342"/>
    </row>
    <row r="917" spans="1:10" ht="12.75" customHeight="1">
      <c r="A917" s="356"/>
      <c r="B917" s="291"/>
      <c r="C917" s="291"/>
      <c r="D917" s="291"/>
      <c r="E917" s="291"/>
      <c r="F917" s="291"/>
      <c r="G917" s="291"/>
      <c r="H917" s="291"/>
      <c r="I917" s="291"/>
      <c r="J917" s="342"/>
    </row>
    <row r="918" spans="1:10" ht="12.75" customHeight="1">
      <c r="A918" s="356"/>
      <c r="B918" s="291"/>
      <c r="C918" s="291"/>
      <c r="D918" s="291"/>
      <c r="E918" s="291"/>
      <c r="F918" s="291"/>
      <c r="G918" s="291"/>
      <c r="H918" s="291"/>
      <c r="I918" s="291"/>
      <c r="J918" s="342"/>
    </row>
    <row r="919" spans="1:10" ht="12.75" customHeight="1">
      <c r="A919" s="356"/>
      <c r="B919" s="291"/>
      <c r="C919" s="291"/>
      <c r="D919" s="291"/>
      <c r="E919" s="291"/>
      <c r="F919" s="291"/>
      <c r="G919" s="291"/>
      <c r="H919" s="291"/>
      <c r="I919" s="291"/>
      <c r="J919" s="342"/>
    </row>
    <row r="920" spans="1:10" ht="12.75" customHeight="1">
      <c r="A920" s="356"/>
      <c r="B920" s="291"/>
      <c r="C920" s="291"/>
      <c r="D920" s="291"/>
      <c r="E920" s="291"/>
      <c r="F920" s="291"/>
      <c r="G920" s="291"/>
      <c r="H920" s="291"/>
      <c r="I920" s="291"/>
      <c r="J920" s="342"/>
    </row>
    <row r="921" spans="1:10" ht="12.75" customHeight="1">
      <c r="A921" s="356"/>
      <c r="B921" s="291"/>
      <c r="C921" s="291"/>
      <c r="D921" s="291"/>
      <c r="E921" s="291"/>
      <c r="F921" s="291"/>
      <c r="G921" s="291"/>
      <c r="H921" s="291"/>
      <c r="I921" s="291"/>
      <c r="J921" s="342"/>
    </row>
    <row r="922" spans="1:10" ht="12.75" customHeight="1">
      <c r="A922" s="356"/>
      <c r="B922" s="291"/>
      <c r="C922" s="291"/>
      <c r="D922" s="291"/>
      <c r="E922" s="291"/>
      <c r="F922" s="291"/>
      <c r="G922" s="291"/>
      <c r="H922" s="291"/>
      <c r="I922" s="291"/>
      <c r="J922" s="342"/>
    </row>
    <row r="923" spans="1:10" ht="12.75" customHeight="1">
      <c r="A923" s="356"/>
      <c r="B923" s="291"/>
      <c r="C923" s="291"/>
      <c r="D923" s="291"/>
      <c r="E923" s="291"/>
      <c r="F923" s="291"/>
      <c r="G923" s="291"/>
      <c r="H923" s="291"/>
      <c r="I923" s="291"/>
      <c r="J923" s="342"/>
    </row>
    <row r="924" spans="1:10" ht="12.75" customHeight="1">
      <c r="A924" s="356"/>
      <c r="B924" s="291"/>
      <c r="C924" s="291"/>
      <c r="D924" s="291"/>
      <c r="E924" s="291"/>
      <c r="F924" s="291"/>
      <c r="G924" s="291"/>
      <c r="H924" s="291"/>
      <c r="I924" s="291"/>
      <c r="J924" s="342"/>
    </row>
    <row r="925" spans="1:10" ht="12.75" customHeight="1">
      <c r="A925" s="353"/>
      <c r="B925" s="301"/>
      <c r="C925" s="301"/>
      <c r="D925" s="301"/>
      <c r="E925" s="301"/>
      <c r="F925" s="301"/>
      <c r="G925" s="301"/>
      <c r="H925" s="301"/>
      <c r="I925" s="301"/>
      <c r="J925" s="303"/>
    </row>
    <row r="926" spans="1:10" ht="12.75" customHeight="1"/>
    <row r="927" spans="1:10" ht="12.75" customHeight="1"/>
    <row r="928" spans="1:10" ht="7.5" customHeight="1"/>
    <row r="929" s="151" customFormat="1" ht="12.75" customHeight="1"/>
    <row r="930" s="151" customFormat="1" ht="12.75" customHeight="1"/>
    <row r="931" s="151" customFormat="1" ht="12.75" customHeight="1"/>
    <row r="932" s="151" customFormat="1" ht="12.75" customHeight="1"/>
    <row r="933" s="151" customFormat="1" ht="27" customHeight="1"/>
    <row r="934" s="151" customFormat="1" ht="12.75" customHeight="1"/>
    <row r="935" s="151" customFormat="1" ht="12.75" customHeight="1"/>
    <row r="936" s="151" customFormat="1" ht="12.75" customHeight="1"/>
    <row r="937" s="151" customFormat="1" ht="12.75" customHeight="1"/>
    <row r="938" s="151" customFormat="1" ht="12.75" customHeight="1"/>
    <row r="939" s="151" customFormat="1" ht="12.75" customHeight="1"/>
    <row r="940" s="151" customFormat="1" ht="12.75" customHeight="1"/>
    <row r="941" s="151" customFormat="1" ht="12.75" customHeight="1"/>
    <row r="942" s="151" customFormat="1" ht="12.75" customHeight="1"/>
    <row r="943" s="151" customFormat="1" ht="12.75" customHeight="1"/>
    <row r="944" s="151" customFormat="1" ht="12.75" customHeight="1"/>
    <row r="945" s="151" customFormat="1" ht="12.75" customHeight="1"/>
    <row r="946" s="151" customFormat="1" ht="12.75" customHeight="1"/>
    <row r="947" s="151" customFormat="1" ht="12.75" customHeight="1"/>
    <row r="948" s="151" customFormat="1" ht="12.75" customHeight="1"/>
    <row r="949" s="151" customFormat="1" ht="12.75" customHeight="1"/>
    <row r="950" s="151" customFormat="1" ht="12.75" customHeight="1"/>
    <row r="951" s="151" customFormat="1" ht="12.75" customHeight="1"/>
    <row r="952" s="151" customFormat="1" ht="12.75" customHeight="1"/>
    <row r="953" s="151" customFormat="1" ht="12.75" customHeight="1"/>
    <row r="954" s="151" customFormat="1" ht="12.75" customHeight="1"/>
    <row r="955" s="151" customFormat="1" ht="12.75" customHeight="1"/>
    <row r="956" s="151" customFormat="1" ht="12.75" customHeight="1"/>
    <row r="957" s="151" customFormat="1" ht="12.75" customHeight="1"/>
    <row r="958" s="151" customFormat="1" ht="12.75" customHeight="1"/>
    <row r="959" s="151" customFormat="1" ht="12.75" customHeight="1"/>
    <row r="960" s="151" customFormat="1" ht="12.75" customHeight="1"/>
    <row r="961" s="151" customFormat="1" ht="12.75" customHeight="1"/>
    <row r="962" s="151" customFormat="1" ht="12.75" customHeight="1"/>
    <row r="963" s="151" customFormat="1" ht="12.75" customHeight="1"/>
    <row r="964" s="151" customFormat="1" ht="12.75" customHeight="1"/>
    <row r="965" s="151" customFormat="1" ht="12.75" customHeight="1"/>
    <row r="966" s="151" customFormat="1" ht="12.75" customHeight="1"/>
    <row r="967" s="151" customFormat="1" ht="12.75" customHeight="1"/>
    <row r="968" s="151" customFormat="1" ht="12.75" customHeight="1"/>
    <row r="969" s="151" customFormat="1" ht="12.75" customHeight="1"/>
    <row r="970" s="151" customFormat="1" ht="12.75" customHeight="1"/>
    <row r="971" s="151" customFormat="1" ht="12.75" customHeight="1"/>
    <row r="972" s="151" customFormat="1" ht="12.75" customHeight="1"/>
    <row r="973" s="151" customFormat="1" ht="12.75" customHeight="1"/>
    <row r="974" s="151" customFormat="1" ht="12.75" customHeight="1"/>
    <row r="975" s="151" customFormat="1" ht="12.75" customHeight="1"/>
    <row r="976" s="151" customFormat="1" ht="12.75" customHeight="1"/>
    <row r="977" s="151" customFormat="1" ht="12.75" customHeight="1"/>
    <row r="978" s="151" customFormat="1" ht="12.75" customHeight="1"/>
    <row r="979" s="151" customFormat="1" ht="12.75" customHeight="1"/>
    <row r="980" s="151" customFormat="1" ht="12.75" customHeight="1"/>
    <row r="981" s="151" customFormat="1" ht="12.75" customHeight="1"/>
    <row r="982" s="151" customFormat="1" ht="12.75" customHeight="1"/>
    <row r="983" s="151" customFormat="1" ht="12.75" customHeight="1"/>
    <row r="984" s="151" customFormat="1" ht="12.75" customHeight="1"/>
    <row r="985" s="151" customFormat="1" ht="12.75" customHeight="1"/>
    <row r="986" s="151" customFormat="1" ht="7.5" customHeight="1"/>
    <row r="987" s="151" customFormat="1" ht="12.75" customHeight="1"/>
    <row r="988" s="151" customFormat="1" ht="12.75" customHeight="1"/>
    <row r="989" s="151" customFormat="1" ht="12.75" customHeight="1"/>
    <row r="990" s="151" customFormat="1" ht="12.75" customHeight="1"/>
    <row r="991" s="151" customFormat="1" ht="27" customHeight="1"/>
    <row r="992" s="151" customFormat="1" ht="12.75" customHeight="1"/>
    <row r="993" s="151" customFormat="1" ht="12.75" customHeight="1"/>
    <row r="994" s="151" customFormat="1" ht="12.75" customHeight="1"/>
    <row r="995" s="151" customFormat="1" ht="12.75" customHeight="1"/>
    <row r="996" s="151" customFormat="1" ht="12.75" customHeight="1"/>
    <row r="997" s="151" customFormat="1" ht="12.75" customHeight="1"/>
    <row r="998" s="151" customFormat="1" ht="12.75" customHeight="1"/>
    <row r="999" s="151" customFormat="1" ht="12.75" customHeight="1"/>
    <row r="1000" s="151" customFormat="1" ht="12.75" customHeight="1"/>
    <row r="1001" s="151" customFormat="1" ht="12.75" customHeight="1"/>
    <row r="1002" s="151" customFormat="1" ht="12.75" customHeight="1"/>
    <row r="1003" s="151" customFormat="1" ht="12.75" customHeight="1"/>
    <row r="1004" s="151" customFormat="1" ht="12.75" customHeight="1"/>
    <row r="1005" s="151" customFormat="1" ht="12.75" customHeight="1"/>
    <row r="1006" s="151" customFormat="1" ht="12.75" customHeight="1"/>
    <row r="1007" s="151" customFormat="1" ht="12.75" customHeight="1"/>
    <row r="1008" s="151" customFormat="1" ht="12.75" customHeight="1"/>
    <row r="1009" s="151" customFormat="1" ht="12.75" customHeight="1"/>
    <row r="1010" s="151" customFormat="1" ht="12.75" customHeight="1"/>
    <row r="1011" s="151" customFormat="1" ht="12.75" customHeight="1"/>
    <row r="1012" s="151" customFormat="1" ht="12.75" customHeight="1"/>
    <row r="1013" s="151" customFormat="1" ht="12.75" customHeight="1"/>
    <row r="1014" s="151" customFormat="1" ht="12.75" customHeight="1"/>
    <row r="1015" s="151" customFormat="1" ht="12.75" customHeight="1"/>
    <row r="1016" s="151" customFormat="1" ht="12.75" customHeight="1"/>
    <row r="1017" s="151" customFormat="1" ht="12.75" customHeight="1"/>
    <row r="1018" s="151" customFormat="1" ht="12.75" customHeight="1"/>
    <row r="1019" s="151" customFormat="1" ht="12.75" customHeight="1"/>
    <row r="1020" s="151" customFormat="1" ht="12.75" customHeight="1"/>
    <row r="1021" s="151" customFormat="1" ht="12.75" customHeight="1"/>
    <row r="1022" s="151" customFormat="1" ht="12.75" customHeight="1"/>
    <row r="1023" s="151" customFormat="1" ht="12.75" customHeight="1"/>
    <row r="1024" s="151" customFormat="1" ht="12.75" customHeight="1"/>
    <row r="1025" s="151" customFormat="1" ht="12.75" customHeight="1"/>
    <row r="1026" s="151" customFormat="1" ht="12.75" customHeight="1"/>
    <row r="1027" s="151" customFormat="1" ht="12.75" customHeight="1"/>
    <row r="1028" s="151" customFormat="1" ht="12.75" customHeight="1"/>
    <row r="1029" s="151" customFormat="1" ht="12.75" customHeight="1"/>
    <row r="1030" s="151" customFormat="1" ht="12.75" customHeight="1"/>
    <row r="1031" s="151" customFormat="1" ht="12.75" customHeight="1"/>
    <row r="1032" s="151" customFormat="1" ht="12.75" customHeight="1"/>
    <row r="1033" s="151" customFormat="1" ht="12.75" customHeight="1"/>
    <row r="1034" s="151" customFormat="1" ht="12.75" customHeight="1"/>
    <row r="1035" s="151" customFormat="1" ht="12.75" customHeight="1"/>
    <row r="1036" s="151" customFormat="1" ht="12.75" customHeight="1"/>
    <row r="1037" s="151" customFormat="1" ht="12.75" customHeight="1"/>
    <row r="1038" s="151" customFormat="1" ht="12.75" customHeight="1"/>
    <row r="1039" s="151" customFormat="1" ht="12.75" customHeight="1"/>
    <row r="1040" s="151" customFormat="1" ht="12.75" customHeight="1"/>
    <row r="1041" s="151" customFormat="1" ht="12.75" customHeight="1"/>
    <row r="1042" s="151" customFormat="1" ht="12.75" customHeight="1"/>
    <row r="1043" s="151" customFormat="1" ht="12.75" customHeight="1"/>
    <row r="1044" s="151" customFormat="1" ht="7.5" customHeight="1"/>
    <row r="1045" s="151" customFormat="1" ht="12.75" customHeight="1"/>
    <row r="1046" s="151" customFormat="1" ht="12.75" customHeight="1"/>
    <row r="1047" s="151" customFormat="1" ht="12.75" customHeight="1"/>
    <row r="1048" s="151" customFormat="1" ht="12.75" customHeight="1"/>
    <row r="1049" s="151" customFormat="1" ht="27" customHeight="1"/>
  </sheetData>
  <mergeCells count="865">
    <mergeCell ref="A772:J772"/>
    <mergeCell ref="A767:D767"/>
    <mergeCell ref="E767:F767"/>
    <mergeCell ref="A768:D768"/>
    <mergeCell ref="E768:F768"/>
    <mergeCell ref="G768:H768"/>
    <mergeCell ref="I768:J768"/>
    <mergeCell ref="E769:F769"/>
    <mergeCell ref="G769:H769"/>
    <mergeCell ref="I769:J769"/>
    <mergeCell ref="A771:J771"/>
    <mergeCell ref="A766:D766"/>
    <mergeCell ref="E766:F766"/>
    <mergeCell ref="G766:H766"/>
    <mergeCell ref="I766:J766"/>
    <mergeCell ref="A770:D770"/>
    <mergeCell ref="E770:F770"/>
    <mergeCell ref="G770:H770"/>
    <mergeCell ref="I770:J770"/>
    <mergeCell ref="A769:D769"/>
    <mergeCell ref="G767:H767"/>
    <mergeCell ref="I767:J767"/>
    <mergeCell ref="A764:D764"/>
    <mergeCell ref="E764:F764"/>
    <mergeCell ref="G764:H764"/>
    <mergeCell ref="I764:J764"/>
    <mergeCell ref="E765:F765"/>
    <mergeCell ref="G765:H765"/>
    <mergeCell ref="I765:J765"/>
    <mergeCell ref="A765:D765"/>
    <mergeCell ref="A713:J713"/>
    <mergeCell ref="A714:J714"/>
    <mergeCell ref="A715:J715"/>
    <mergeCell ref="A716:J716"/>
    <mergeCell ref="A717:J751"/>
    <mergeCell ref="A753:G753"/>
    <mergeCell ref="H753:J753"/>
    <mergeCell ref="I760:J760"/>
    <mergeCell ref="E761:F761"/>
    <mergeCell ref="G761:H761"/>
    <mergeCell ref="I761:J761"/>
    <mergeCell ref="G763:H763"/>
    <mergeCell ref="I763:J763"/>
    <mergeCell ref="A702:D702"/>
    <mergeCell ref="A703:D703"/>
    <mergeCell ref="E703:F703"/>
    <mergeCell ref="G703:H703"/>
    <mergeCell ref="I703:J703"/>
    <mergeCell ref="A704:D704"/>
    <mergeCell ref="E704:F704"/>
    <mergeCell ref="A711:D711"/>
    <mergeCell ref="E711:F711"/>
    <mergeCell ref="G711:H711"/>
    <mergeCell ref="I711:J711"/>
    <mergeCell ref="A705:D705"/>
    <mergeCell ref="E705:F705"/>
    <mergeCell ref="G705:H705"/>
    <mergeCell ref="I705:J705"/>
    <mergeCell ref="E706:F706"/>
    <mergeCell ref="G706:H706"/>
    <mergeCell ref="I706:J706"/>
    <mergeCell ref="G704:H704"/>
    <mergeCell ref="I704:J704"/>
    <mergeCell ref="A712:D712"/>
    <mergeCell ref="E712:F712"/>
    <mergeCell ref="G712:H712"/>
    <mergeCell ref="I712:J712"/>
    <mergeCell ref="A706:D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E710:F710"/>
    <mergeCell ref="G710:H710"/>
    <mergeCell ref="I710:J710"/>
    <mergeCell ref="A710:D710"/>
    <mergeCell ref="A650:D650"/>
    <mergeCell ref="E650:F650"/>
    <mergeCell ref="G650:H650"/>
    <mergeCell ref="I650:J650"/>
    <mergeCell ref="E702:F702"/>
    <mergeCell ref="G702:H702"/>
    <mergeCell ref="I702:J702"/>
    <mergeCell ref="A648:D648"/>
    <mergeCell ref="E648:F648"/>
    <mergeCell ref="G648:H648"/>
    <mergeCell ref="I648:J648"/>
    <mergeCell ref="E649:F649"/>
    <mergeCell ref="G649:H649"/>
    <mergeCell ref="I649:J649"/>
    <mergeCell ref="A649:D649"/>
    <mergeCell ref="E701:F701"/>
    <mergeCell ref="G701:H701"/>
    <mergeCell ref="I701:J701"/>
    <mergeCell ref="H695:J695"/>
    <mergeCell ref="A697:J697"/>
    <mergeCell ref="E698:J699"/>
    <mergeCell ref="A699:D699"/>
    <mergeCell ref="A700:D700"/>
    <mergeCell ref="E700:J700"/>
    <mergeCell ref="A647:D647"/>
    <mergeCell ref="E647:F647"/>
    <mergeCell ref="G643:H643"/>
    <mergeCell ref="I643:J643"/>
    <mergeCell ref="A639:J639"/>
    <mergeCell ref="A640:D640"/>
    <mergeCell ref="E640:J641"/>
    <mergeCell ref="A641:D641"/>
    <mergeCell ref="A642:D642"/>
    <mergeCell ref="E642:J642"/>
    <mergeCell ref="E643:F643"/>
    <mergeCell ref="A644:D644"/>
    <mergeCell ref="E644:F644"/>
    <mergeCell ref="G644:H644"/>
    <mergeCell ref="I644:J644"/>
    <mergeCell ref="E645:F645"/>
    <mergeCell ref="G645:H645"/>
    <mergeCell ref="I645:J645"/>
    <mergeCell ref="G647:H647"/>
    <mergeCell ref="I647:J647"/>
    <mergeCell ref="A645:D645"/>
    <mergeCell ref="A646:D646"/>
    <mergeCell ref="E646:F646"/>
    <mergeCell ref="G646:H646"/>
    <mergeCell ref="A656:J656"/>
    <mergeCell ref="A698:D698"/>
    <mergeCell ref="A657:J657"/>
    <mergeCell ref="A658:J658"/>
    <mergeCell ref="A659:J693"/>
    <mergeCell ref="A695:G695"/>
    <mergeCell ref="G651:H651"/>
    <mergeCell ref="I651:J651"/>
    <mergeCell ref="A651:D651"/>
    <mergeCell ref="E651:F651"/>
    <mergeCell ref="I646:J646"/>
    <mergeCell ref="A891:J925"/>
    <mergeCell ref="A652:D652"/>
    <mergeCell ref="E652:F652"/>
    <mergeCell ref="G652:H652"/>
    <mergeCell ref="I652:J652"/>
    <mergeCell ref="E653:F653"/>
    <mergeCell ref="G653:H653"/>
    <mergeCell ref="I653:J653"/>
    <mergeCell ref="A653:D653"/>
    <mergeCell ref="A654:D654"/>
    <mergeCell ref="A878:D878"/>
    <mergeCell ref="E878:F878"/>
    <mergeCell ref="G878:H878"/>
    <mergeCell ref="I878:J878"/>
    <mergeCell ref="A889:J889"/>
    <mergeCell ref="A890:J890"/>
    <mergeCell ref="E875:F875"/>
    <mergeCell ref="A876:D876"/>
    <mergeCell ref="E876:F876"/>
    <mergeCell ref="G876:H876"/>
    <mergeCell ref="I876:J876"/>
    <mergeCell ref="E877:F877"/>
    <mergeCell ref="G877:H877"/>
    <mergeCell ref="I877:J877"/>
    <mergeCell ref="A877:D877"/>
    <mergeCell ref="A887:J887"/>
    <mergeCell ref="A888:J888"/>
    <mergeCell ref="G875:H875"/>
    <mergeCell ref="I875:J875"/>
    <mergeCell ref="A871:J871"/>
    <mergeCell ref="A872:D872"/>
    <mergeCell ref="E872:J873"/>
    <mergeCell ref="A873:D873"/>
    <mergeCell ref="A874:D874"/>
    <mergeCell ref="E874:J874"/>
    <mergeCell ref="E885:F885"/>
    <mergeCell ref="G885:H885"/>
    <mergeCell ref="I885:J885"/>
    <mergeCell ref="A885:D885"/>
    <mergeCell ref="A886:D886"/>
    <mergeCell ref="E886:F886"/>
    <mergeCell ref="G886:H886"/>
    <mergeCell ref="I886:J886"/>
    <mergeCell ref="A883:D883"/>
    <mergeCell ref="E883:F883"/>
    <mergeCell ref="A884:D884"/>
    <mergeCell ref="E884:F884"/>
    <mergeCell ref="G884:H884"/>
    <mergeCell ref="I884:J884"/>
    <mergeCell ref="G883:H883"/>
    <mergeCell ref="I883:J883"/>
    <mergeCell ref="A879:D879"/>
    <mergeCell ref="E879:F879"/>
    <mergeCell ref="A882:D882"/>
    <mergeCell ref="E882:F882"/>
    <mergeCell ref="G882:H882"/>
    <mergeCell ref="I882:J882"/>
    <mergeCell ref="G879:H879"/>
    <mergeCell ref="I879:J879"/>
    <mergeCell ref="A880:D880"/>
    <mergeCell ref="E880:F880"/>
    <mergeCell ref="G880:H880"/>
    <mergeCell ref="I880:J880"/>
    <mergeCell ref="E881:F881"/>
    <mergeCell ref="G881:H881"/>
    <mergeCell ref="I881:J881"/>
    <mergeCell ref="A881:D881"/>
    <mergeCell ref="A827:D827"/>
    <mergeCell ref="E827:F827"/>
    <mergeCell ref="G827:H827"/>
    <mergeCell ref="I827:J827"/>
    <mergeCell ref="A833:J867"/>
    <mergeCell ref="A869:G869"/>
    <mergeCell ref="H869:J869"/>
    <mergeCell ref="A825:D825"/>
    <mergeCell ref="E825:F825"/>
    <mergeCell ref="G825:H825"/>
    <mergeCell ref="I825:J825"/>
    <mergeCell ref="E826:F826"/>
    <mergeCell ref="G826:H826"/>
    <mergeCell ref="I826:J826"/>
    <mergeCell ref="A826:D826"/>
    <mergeCell ref="G828:H828"/>
    <mergeCell ref="I828:J828"/>
    <mergeCell ref="A829:J829"/>
    <mergeCell ref="A830:J830"/>
    <mergeCell ref="A831:J831"/>
    <mergeCell ref="A832:J832"/>
    <mergeCell ref="A828:D828"/>
    <mergeCell ref="E828:F828"/>
    <mergeCell ref="G824:H824"/>
    <mergeCell ref="I824:J824"/>
    <mergeCell ref="A822:D822"/>
    <mergeCell ref="A823:D823"/>
    <mergeCell ref="E823:F823"/>
    <mergeCell ref="G823:H823"/>
    <mergeCell ref="I823:J823"/>
    <mergeCell ref="A824:D824"/>
    <mergeCell ref="E824:F824"/>
    <mergeCell ref="A821:D821"/>
    <mergeCell ref="E821:F821"/>
    <mergeCell ref="G821:H821"/>
    <mergeCell ref="I821:J821"/>
    <mergeCell ref="E822:F822"/>
    <mergeCell ref="G822:H822"/>
    <mergeCell ref="I822:J822"/>
    <mergeCell ref="E818:F818"/>
    <mergeCell ref="G818:H818"/>
    <mergeCell ref="I818:J818"/>
    <mergeCell ref="G820:H820"/>
    <mergeCell ref="I820:J820"/>
    <mergeCell ref="A818:D818"/>
    <mergeCell ref="A819:D819"/>
    <mergeCell ref="E819:F819"/>
    <mergeCell ref="G819:H819"/>
    <mergeCell ref="I819:J819"/>
    <mergeCell ref="A820:D820"/>
    <mergeCell ref="E820:F820"/>
    <mergeCell ref="E817:F817"/>
    <mergeCell ref="G817:H817"/>
    <mergeCell ref="I817:J817"/>
    <mergeCell ref="E654:F654"/>
    <mergeCell ref="G654:H654"/>
    <mergeCell ref="I654:J654"/>
    <mergeCell ref="A655:J655"/>
    <mergeCell ref="A757:D757"/>
    <mergeCell ref="A758:D758"/>
    <mergeCell ref="E758:J758"/>
    <mergeCell ref="E759:F759"/>
    <mergeCell ref="A760:D760"/>
    <mergeCell ref="E760:F760"/>
    <mergeCell ref="G760:H760"/>
    <mergeCell ref="I762:J762"/>
    <mergeCell ref="A763:D763"/>
    <mergeCell ref="E763:F763"/>
    <mergeCell ref="G759:H759"/>
    <mergeCell ref="I759:J759"/>
    <mergeCell ref="A755:J755"/>
    <mergeCell ref="A756:D756"/>
    <mergeCell ref="E756:J757"/>
    <mergeCell ref="A816:D816"/>
    <mergeCell ref="A773:J773"/>
    <mergeCell ref="A774:J774"/>
    <mergeCell ref="A775:J809"/>
    <mergeCell ref="A811:G811"/>
    <mergeCell ref="H811:J811"/>
    <mergeCell ref="A813:J813"/>
    <mergeCell ref="E814:J815"/>
    <mergeCell ref="E816:J816"/>
    <mergeCell ref="A538:D538"/>
    <mergeCell ref="E538:F538"/>
    <mergeCell ref="G538:H538"/>
    <mergeCell ref="I538:J538"/>
    <mergeCell ref="A814:D814"/>
    <mergeCell ref="A815:D815"/>
    <mergeCell ref="A761:D761"/>
    <mergeCell ref="A762:D762"/>
    <mergeCell ref="E762:F762"/>
    <mergeCell ref="G762:H762"/>
    <mergeCell ref="G596:H596"/>
    <mergeCell ref="I596:J596"/>
    <mergeCell ref="A597:J597"/>
    <mergeCell ref="A598:J598"/>
    <mergeCell ref="A599:J599"/>
    <mergeCell ref="A600:J600"/>
    <mergeCell ref="A596:D596"/>
    <mergeCell ref="A536:D536"/>
    <mergeCell ref="E536:F536"/>
    <mergeCell ref="G536:H536"/>
    <mergeCell ref="I536:J536"/>
    <mergeCell ref="E537:F537"/>
    <mergeCell ref="G537:H537"/>
    <mergeCell ref="I537:J537"/>
    <mergeCell ref="A537:D537"/>
    <mergeCell ref="A595:D595"/>
    <mergeCell ref="E595:F595"/>
    <mergeCell ref="G595:H595"/>
    <mergeCell ref="I595:J595"/>
    <mergeCell ref="A593:D593"/>
    <mergeCell ref="E593:F593"/>
    <mergeCell ref="G593:H593"/>
    <mergeCell ref="I593:J593"/>
    <mergeCell ref="E594:F594"/>
    <mergeCell ref="G594:H594"/>
    <mergeCell ref="A588:D588"/>
    <mergeCell ref="E588:F588"/>
    <mergeCell ref="G592:H592"/>
    <mergeCell ref="I592:J592"/>
    <mergeCell ref="A590:D590"/>
    <mergeCell ref="A591:D591"/>
    <mergeCell ref="E596:F596"/>
    <mergeCell ref="A535:D535"/>
    <mergeCell ref="E535:F535"/>
    <mergeCell ref="G535:H535"/>
    <mergeCell ref="I535:J535"/>
    <mergeCell ref="A601:J635"/>
    <mergeCell ref="A637:G637"/>
    <mergeCell ref="H637:J637"/>
    <mergeCell ref="I591:J591"/>
    <mergeCell ref="A592:D592"/>
    <mergeCell ref="E592:F592"/>
    <mergeCell ref="A539:J539"/>
    <mergeCell ref="A540:J540"/>
    <mergeCell ref="E585:F585"/>
    <mergeCell ref="G585:H585"/>
    <mergeCell ref="I585:J585"/>
    <mergeCell ref="E586:F586"/>
    <mergeCell ref="G586:H586"/>
    <mergeCell ref="I586:J586"/>
    <mergeCell ref="A586:D586"/>
    <mergeCell ref="A587:D587"/>
    <mergeCell ref="E587:F587"/>
    <mergeCell ref="G587:H587"/>
    <mergeCell ref="I587:J587"/>
    <mergeCell ref="E533:F533"/>
    <mergeCell ref="G533:H533"/>
    <mergeCell ref="I533:J533"/>
    <mergeCell ref="A533:D533"/>
    <mergeCell ref="A534:D534"/>
    <mergeCell ref="E534:F534"/>
    <mergeCell ref="G534:H534"/>
    <mergeCell ref="I534:J534"/>
    <mergeCell ref="G531:H531"/>
    <mergeCell ref="I531:J531"/>
    <mergeCell ref="A532:D532"/>
    <mergeCell ref="E532:F532"/>
    <mergeCell ref="G532:H532"/>
    <mergeCell ref="I532:J532"/>
    <mergeCell ref="A529:D529"/>
    <mergeCell ref="A530:D530"/>
    <mergeCell ref="E530:F530"/>
    <mergeCell ref="G530:H530"/>
    <mergeCell ref="I530:J530"/>
    <mergeCell ref="A531:D531"/>
    <mergeCell ref="E531:F531"/>
    <mergeCell ref="A521:G521"/>
    <mergeCell ref="H521:J521"/>
    <mergeCell ref="I528:J528"/>
    <mergeCell ref="E529:F529"/>
    <mergeCell ref="G529:H529"/>
    <mergeCell ref="I529:J529"/>
    <mergeCell ref="E528:F528"/>
    <mergeCell ref="G528:H528"/>
    <mergeCell ref="G527:H527"/>
    <mergeCell ref="I527:J527"/>
    <mergeCell ref="A523:J523"/>
    <mergeCell ref="A524:D524"/>
    <mergeCell ref="E524:J525"/>
    <mergeCell ref="A525:D525"/>
    <mergeCell ref="A526:D526"/>
    <mergeCell ref="E526:J526"/>
    <mergeCell ref="E527:F527"/>
    <mergeCell ref="A481:J481"/>
    <mergeCell ref="A482:J482"/>
    <mergeCell ref="A483:J483"/>
    <mergeCell ref="A484:J484"/>
    <mergeCell ref="A485:J519"/>
    <mergeCell ref="G413:H413"/>
    <mergeCell ref="I413:J413"/>
    <mergeCell ref="G415:H415"/>
    <mergeCell ref="I415:J415"/>
    <mergeCell ref="A413:D413"/>
    <mergeCell ref="A414:D414"/>
    <mergeCell ref="E414:F414"/>
    <mergeCell ref="G414:H414"/>
    <mergeCell ref="I414:J414"/>
    <mergeCell ref="A415:D415"/>
    <mergeCell ref="E469:F469"/>
    <mergeCell ref="G469:H469"/>
    <mergeCell ref="I469:J469"/>
    <mergeCell ref="E470:F470"/>
    <mergeCell ref="G470:H470"/>
    <mergeCell ref="I470:J470"/>
    <mergeCell ref="E468:J468"/>
    <mergeCell ref="G474:H474"/>
    <mergeCell ref="I472:J472"/>
    <mergeCell ref="A470:D470"/>
    <mergeCell ref="A471:D471"/>
    <mergeCell ref="E471:F471"/>
    <mergeCell ref="G471:H471"/>
    <mergeCell ref="A474:D474"/>
    <mergeCell ref="A425:J425"/>
    <mergeCell ref="A426:J426"/>
    <mergeCell ref="A427:J461"/>
    <mergeCell ref="A463:G463"/>
    <mergeCell ref="H463:J463"/>
    <mergeCell ref="A465:J465"/>
    <mergeCell ref="E479:F479"/>
    <mergeCell ref="G479:H479"/>
    <mergeCell ref="I479:J479"/>
    <mergeCell ref="A480:D480"/>
    <mergeCell ref="E480:F480"/>
    <mergeCell ref="G480:H480"/>
    <mergeCell ref="I480:J480"/>
    <mergeCell ref="A466:D466"/>
    <mergeCell ref="A467:D467"/>
    <mergeCell ref="A468:D468"/>
    <mergeCell ref="E478:F478"/>
    <mergeCell ref="G478:H478"/>
    <mergeCell ref="I478:J478"/>
    <mergeCell ref="A478:D478"/>
    <mergeCell ref="G476:H476"/>
    <mergeCell ref="I476:J476"/>
    <mergeCell ref="E466:J467"/>
    <mergeCell ref="A473:D473"/>
    <mergeCell ref="E473:F473"/>
    <mergeCell ref="G473:H473"/>
    <mergeCell ref="I473:J473"/>
    <mergeCell ref="E474:F474"/>
    <mergeCell ref="A479:D479"/>
    <mergeCell ref="I474:J474"/>
    <mergeCell ref="A584:D584"/>
    <mergeCell ref="A541:J541"/>
    <mergeCell ref="A542:J542"/>
    <mergeCell ref="A543:J577"/>
    <mergeCell ref="A579:G579"/>
    <mergeCell ref="H579:J579"/>
    <mergeCell ref="A581:J581"/>
    <mergeCell ref="E582:J583"/>
    <mergeCell ref="E584:J584"/>
    <mergeCell ref="I594:J594"/>
    <mergeCell ref="A594:D594"/>
    <mergeCell ref="A423:J423"/>
    <mergeCell ref="A424:J424"/>
    <mergeCell ref="A582:D582"/>
    <mergeCell ref="A583:D583"/>
    <mergeCell ref="A475:D475"/>
    <mergeCell ref="E475:F475"/>
    <mergeCell ref="G475:H475"/>
    <mergeCell ref="I475:J475"/>
    <mergeCell ref="A476:D476"/>
    <mergeCell ref="E476:F476"/>
    <mergeCell ref="E591:F591"/>
    <mergeCell ref="G591:H591"/>
    <mergeCell ref="A528:D528"/>
    <mergeCell ref="A589:D589"/>
    <mergeCell ref="E589:F589"/>
    <mergeCell ref="G589:H589"/>
    <mergeCell ref="I589:J589"/>
    <mergeCell ref="E590:F590"/>
    <mergeCell ref="G590:H590"/>
    <mergeCell ref="I590:J590"/>
    <mergeCell ref="G588:H588"/>
    <mergeCell ref="I588:J588"/>
    <mergeCell ref="A419:D419"/>
    <mergeCell ref="E419:F419"/>
    <mergeCell ref="G419:H419"/>
    <mergeCell ref="I419:J419"/>
    <mergeCell ref="A477:D477"/>
    <mergeCell ref="E477:F477"/>
    <mergeCell ref="G477:H477"/>
    <mergeCell ref="I477:J477"/>
    <mergeCell ref="I471:J471"/>
    <mergeCell ref="A472:D472"/>
    <mergeCell ref="A420:D420"/>
    <mergeCell ref="E420:F420"/>
    <mergeCell ref="G420:H420"/>
    <mergeCell ref="I420:J420"/>
    <mergeCell ref="E421:F421"/>
    <mergeCell ref="G421:H421"/>
    <mergeCell ref="I421:J421"/>
    <mergeCell ref="A421:D421"/>
    <mergeCell ref="E472:F472"/>
    <mergeCell ref="A422:D422"/>
    <mergeCell ref="E422:F422"/>
    <mergeCell ref="G422:H422"/>
    <mergeCell ref="I422:J422"/>
    <mergeCell ref="G472:H472"/>
    <mergeCell ref="E417:F417"/>
    <mergeCell ref="G417:H417"/>
    <mergeCell ref="I417:J417"/>
    <mergeCell ref="A417:D417"/>
    <mergeCell ref="A418:D418"/>
    <mergeCell ref="E418:F418"/>
    <mergeCell ref="G418:H418"/>
    <mergeCell ref="I418:J418"/>
    <mergeCell ref="E413:F413"/>
    <mergeCell ref="E415:F415"/>
    <mergeCell ref="A407:J407"/>
    <mergeCell ref="A408:D408"/>
    <mergeCell ref="E408:J409"/>
    <mergeCell ref="A409:D409"/>
    <mergeCell ref="A410:D410"/>
    <mergeCell ref="E410:J410"/>
    <mergeCell ref="A416:D416"/>
    <mergeCell ref="E416:F416"/>
    <mergeCell ref="G416:H416"/>
    <mergeCell ref="I416:J416"/>
    <mergeCell ref="G411:H411"/>
    <mergeCell ref="I411:J411"/>
    <mergeCell ref="E411:F411"/>
    <mergeCell ref="A412:D412"/>
    <mergeCell ref="E412:F412"/>
    <mergeCell ref="G412:H412"/>
    <mergeCell ref="I412:J412"/>
    <mergeCell ref="A365:J365"/>
    <mergeCell ref="A366:J366"/>
    <mergeCell ref="A367:J367"/>
    <mergeCell ref="A368:J368"/>
    <mergeCell ref="A369:J403"/>
    <mergeCell ref="A405:G405"/>
    <mergeCell ref="H405:J405"/>
    <mergeCell ref="I358:J358"/>
    <mergeCell ref="G360:H360"/>
    <mergeCell ref="I360:J360"/>
    <mergeCell ref="A358:D358"/>
    <mergeCell ref="A359:D359"/>
    <mergeCell ref="E359:F359"/>
    <mergeCell ref="G359:H359"/>
    <mergeCell ref="I359:J359"/>
    <mergeCell ref="A360:D360"/>
    <mergeCell ref="E360:F360"/>
    <mergeCell ref="A363:D363"/>
    <mergeCell ref="E363:F363"/>
    <mergeCell ref="G363:H363"/>
    <mergeCell ref="I363:J363"/>
    <mergeCell ref="A364:D364"/>
    <mergeCell ref="E364:F364"/>
    <mergeCell ref="G364:H364"/>
    <mergeCell ref="I364:J364"/>
    <mergeCell ref="A357:D357"/>
    <mergeCell ref="E357:F357"/>
    <mergeCell ref="G357:H357"/>
    <mergeCell ref="I357:J357"/>
    <mergeCell ref="E358:F358"/>
    <mergeCell ref="E362:F362"/>
    <mergeCell ref="G362:H362"/>
    <mergeCell ref="I362:J362"/>
    <mergeCell ref="A362:D362"/>
    <mergeCell ref="G358:H358"/>
    <mergeCell ref="A361:D361"/>
    <mergeCell ref="E361:F361"/>
    <mergeCell ref="G361:H361"/>
    <mergeCell ref="I361:J361"/>
    <mergeCell ref="A306:J306"/>
    <mergeCell ref="A307:J307"/>
    <mergeCell ref="A355:D355"/>
    <mergeCell ref="E355:F355"/>
    <mergeCell ref="G355:H355"/>
    <mergeCell ref="I355:J355"/>
    <mergeCell ref="A356:D356"/>
    <mergeCell ref="E356:F356"/>
    <mergeCell ref="E354:F354"/>
    <mergeCell ref="G354:H354"/>
    <mergeCell ref="I354:J354"/>
    <mergeCell ref="G356:H356"/>
    <mergeCell ref="I356:J356"/>
    <mergeCell ref="A354:D354"/>
    <mergeCell ref="I302:J302"/>
    <mergeCell ref="I303:J303"/>
    <mergeCell ref="H347:J347"/>
    <mergeCell ref="A349:J349"/>
    <mergeCell ref="E350:J351"/>
    <mergeCell ref="E352:J352"/>
    <mergeCell ref="E353:F353"/>
    <mergeCell ref="G353:H353"/>
    <mergeCell ref="I353:J353"/>
    <mergeCell ref="A302:D302"/>
    <mergeCell ref="E302:F302"/>
    <mergeCell ref="A350:D350"/>
    <mergeCell ref="A351:D351"/>
    <mergeCell ref="A352:D352"/>
    <mergeCell ref="A347:G347"/>
    <mergeCell ref="A303:D303"/>
    <mergeCell ref="A304:D304"/>
    <mergeCell ref="E304:F304"/>
    <mergeCell ref="G304:H304"/>
    <mergeCell ref="I304:J304"/>
    <mergeCell ref="A305:D305"/>
    <mergeCell ref="E305:F305"/>
    <mergeCell ref="E303:F303"/>
    <mergeCell ref="G303:H303"/>
    <mergeCell ref="A242:D242"/>
    <mergeCell ref="A243:D243"/>
    <mergeCell ref="A244:D244"/>
    <mergeCell ref="A245:D245"/>
    <mergeCell ref="A308:J308"/>
    <mergeCell ref="A309:J309"/>
    <mergeCell ref="A310:J344"/>
    <mergeCell ref="G305:H305"/>
    <mergeCell ref="I305:J305"/>
    <mergeCell ref="A296:D296"/>
    <mergeCell ref="E293:J293"/>
    <mergeCell ref="E294:F294"/>
    <mergeCell ref="G294:H294"/>
    <mergeCell ref="A297:D297"/>
    <mergeCell ref="A298:D298"/>
    <mergeCell ref="I294:J294"/>
    <mergeCell ref="E295:F295"/>
    <mergeCell ref="G295:H295"/>
    <mergeCell ref="I295:J295"/>
    <mergeCell ref="A301:D301"/>
    <mergeCell ref="E301:F301"/>
    <mergeCell ref="G301:H301"/>
    <mergeCell ref="I301:J301"/>
    <mergeCell ref="G302:H302"/>
    <mergeCell ref="E244:F244"/>
    <mergeCell ref="G244:H244"/>
    <mergeCell ref="I244:J244"/>
    <mergeCell ref="E245:F245"/>
    <mergeCell ref="I246:J246"/>
    <mergeCell ref="A246:D246"/>
    <mergeCell ref="A247:D247"/>
    <mergeCell ref="E247:F247"/>
    <mergeCell ref="G247:H247"/>
    <mergeCell ref="I247:J247"/>
    <mergeCell ref="A290:J290"/>
    <mergeCell ref="E291:J292"/>
    <mergeCell ref="G298:H298"/>
    <mergeCell ref="I298:J298"/>
    <mergeCell ref="E296:F296"/>
    <mergeCell ref="G296:H296"/>
    <mergeCell ref="I296:J296"/>
    <mergeCell ref="E297:F297"/>
    <mergeCell ref="G297:H297"/>
    <mergeCell ref="I297:J297"/>
    <mergeCell ref="A291:D291"/>
    <mergeCell ref="A292:D292"/>
    <mergeCell ref="A293:D293"/>
    <mergeCell ref="A295:D295"/>
    <mergeCell ref="A299:D299"/>
    <mergeCell ref="A300:D300"/>
    <mergeCell ref="E300:F300"/>
    <mergeCell ref="G300:H300"/>
    <mergeCell ref="I300:J300"/>
    <mergeCell ref="E298:F298"/>
    <mergeCell ref="E299:F299"/>
    <mergeCell ref="G299:H299"/>
    <mergeCell ref="I299:J299"/>
    <mergeCell ref="A249:J249"/>
    <mergeCell ref="A250:J250"/>
    <mergeCell ref="A251:J251"/>
    <mergeCell ref="A252:J285"/>
    <mergeCell ref="A288:G288"/>
    <mergeCell ref="H288:J288"/>
    <mergeCell ref="A240:D240"/>
    <mergeCell ref="G240:H240"/>
    <mergeCell ref="I240:J240"/>
    <mergeCell ref="A241:D241"/>
    <mergeCell ref="E241:F241"/>
    <mergeCell ref="G241:H241"/>
    <mergeCell ref="I241:J241"/>
    <mergeCell ref="E246:F246"/>
    <mergeCell ref="G246:H246"/>
    <mergeCell ref="E242:F242"/>
    <mergeCell ref="G242:H242"/>
    <mergeCell ref="A248:J248"/>
    <mergeCell ref="I242:J242"/>
    <mergeCell ref="G245:H245"/>
    <mergeCell ref="I245:J245"/>
    <mergeCell ref="E243:F243"/>
    <mergeCell ref="G243:H243"/>
    <mergeCell ref="I243:J243"/>
    <mergeCell ref="A237:D237"/>
    <mergeCell ref="A238:D238"/>
    <mergeCell ref="A239:D239"/>
    <mergeCell ref="E233:J234"/>
    <mergeCell ref="A233:D233"/>
    <mergeCell ref="A234:D234"/>
    <mergeCell ref="E235:J235"/>
    <mergeCell ref="E236:F236"/>
    <mergeCell ref="G236:H236"/>
    <mergeCell ref="I236:J236"/>
    <mergeCell ref="A235:D235"/>
    <mergeCell ref="E238:F238"/>
    <mergeCell ref="G238:H238"/>
    <mergeCell ref="I238:J238"/>
    <mergeCell ref="E239:F239"/>
    <mergeCell ref="G239:H239"/>
    <mergeCell ref="I239:J239"/>
    <mergeCell ref="E237:F237"/>
    <mergeCell ref="G237:H237"/>
    <mergeCell ref="I237:J237"/>
    <mergeCell ref="A197:J197"/>
    <mergeCell ref="A198:J198"/>
    <mergeCell ref="A199:J226"/>
    <mergeCell ref="A230:G230"/>
    <mergeCell ref="H230:J230"/>
    <mergeCell ref="A232:J232"/>
    <mergeCell ref="A194:D194"/>
    <mergeCell ref="E194:F194"/>
    <mergeCell ref="G194:H194"/>
    <mergeCell ref="I194:J194"/>
    <mergeCell ref="A195:J195"/>
    <mergeCell ref="A196:J196"/>
    <mergeCell ref="A191:D191"/>
    <mergeCell ref="E191:F191"/>
    <mergeCell ref="G187:H187"/>
    <mergeCell ref="I187:J187"/>
    <mergeCell ref="A192:D192"/>
    <mergeCell ref="E192:F192"/>
    <mergeCell ref="G192:H192"/>
    <mergeCell ref="I192:J192"/>
    <mergeCell ref="E193:F193"/>
    <mergeCell ref="G193:H193"/>
    <mergeCell ref="I193:J193"/>
    <mergeCell ref="A193:D193"/>
    <mergeCell ref="G191:H191"/>
    <mergeCell ref="I191:J191"/>
    <mergeCell ref="E186:F186"/>
    <mergeCell ref="G186:H186"/>
    <mergeCell ref="I186:J186"/>
    <mergeCell ref="E187:F187"/>
    <mergeCell ref="E189:F189"/>
    <mergeCell ref="G189:H189"/>
    <mergeCell ref="I189:J189"/>
    <mergeCell ref="A189:D189"/>
    <mergeCell ref="A190:D190"/>
    <mergeCell ref="E190:F190"/>
    <mergeCell ref="G190:H190"/>
    <mergeCell ref="I190:J190"/>
    <mergeCell ref="E240:F240"/>
    <mergeCell ref="I184:J184"/>
    <mergeCell ref="E188:F188"/>
    <mergeCell ref="G188:H188"/>
    <mergeCell ref="I188:J188"/>
    <mergeCell ref="A141:D141"/>
    <mergeCell ref="E141:F141"/>
    <mergeCell ref="A142:D142"/>
    <mergeCell ref="E142:F142"/>
    <mergeCell ref="G142:H142"/>
    <mergeCell ref="I142:J142"/>
    <mergeCell ref="A181:D181"/>
    <mergeCell ref="A182:D182"/>
    <mergeCell ref="A184:D184"/>
    <mergeCell ref="A185:D185"/>
    <mergeCell ref="A186:D186"/>
    <mergeCell ref="A187:D187"/>
    <mergeCell ref="A188:D188"/>
    <mergeCell ref="A143:J143"/>
    <mergeCell ref="A144:J144"/>
    <mergeCell ref="A145:J145"/>
    <mergeCell ref="E185:F185"/>
    <mergeCell ref="G185:H185"/>
    <mergeCell ref="I185:J185"/>
    <mergeCell ref="E182:J182"/>
    <mergeCell ref="E183:F183"/>
    <mergeCell ref="G183:H183"/>
    <mergeCell ref="I183:J183"/>
    <mergeCell ref="A179:J179"/>
    <mergeCell ref="A180:D180"/>
    <mergeCell ref="E180:J181"/>
    <mergeCell ref="G141:H141"/>
    <mergeCell ref="I141:J141"/>
    <mergeCell ref="A147:J174"/>
    <mergeCell ref="A177:G177"/>
    <mergeCell ref="H177:J177"/>
    <mergeCell ref="A146:J146"/>
    <mergeCell ref="I139:J139"/>
    <mergeCell ref="A139:D139"/>
    <mergeCell ref="A140:D140"/>
    <mergeCell ref="E140:F140"/>
    <mergeCell ref="G140:H140"/>
    <mergeCell ref="I140:J140"/>
    <mergeCell ref="G137:H137"/>
    <mergeCell ref="I137:J137"/>
    <mergeCell ref="A138:D138"/>
    <mergeCell ref="E138:F138"/>
    <mergeCell ref="G138:H138"/>
    <mergeCell ref="I138:J138"/>
    <mergeCell ref="E139:F139"/>
    <mergeCell ref="G139:H139"/>
    <mergeCell ref="B67:I69"/>
    <mergeCell ref="B71:I75"/>
    <mergeCell ref="A107:K107"/>
    <mergeCell ref="A125:G125"/>
    <mergeCell ref="H125:J125"/>
    <mergeCell ref="E184:F184"/>
    <mergeCell ref="G184:H184"/>
    <mergeCell ref="A127:J127"/>
    <mergeCell ref="A128:D128"/>
    <mergeCell ref="E128:J129"/>
    <mergeCell ref="A129:D129"/>
    <mergeCell ref="E130:J130"/>
    <mergeCell ref="A135:D135"/>
    <mergeCell ref="A136:D136"/>
    <mergeCell ref="E136:F136"/>
    <mergeCell ref="G136:H136"/>
    <mergeCell ref="I136:J136"/>
    <mergeCell ref="A137:D137"/>
    <mergeCell ref="E137:F137"/>
    <mergeCell ref="G133:H133"/>
    <mergeCell ref="I133:J133"/>
    <mergeCell ref="E135:F135"/>
    <mergeCell ref="G135:H135"/>
    <mergeCell ref="I135:J135"/>
    <mergeCell ref="A134:D134"/>
    <mergeCell ref="E134:F134"/>
    <mergeCell ref="G134:H134"/>
    <mergeCell ref="I134:J134"/>
    <mergeCell ref="A133:D133"/>
    <mergeCell ref="E133:F133"/>
    <mergeCell ref="B77:I79"/>
    <mergeCell ref="B81:I84"/>
    <mergeCell ref="B86:I88"/>
    <mergeCell ref="B90:I91"/>
    <mergeCell ref="A94:J101"/>
    <mergeCell ref="A103:J105"/>
    <mergeCell ref="A1:G1"/>
    <mergeCell ref="H1:J1"/>
    <mergeCell ref="A3:J7"/>
    <mergeCell ref="A9:J11"/>
    <mergeCell ref="A13:J13"/>
    <mergeCell ref="C14:E14"/>
    <mergeCell ref="A130:D130"/>
    <mergeCell ref="A132:D132"/>
    <mergeCell ref="E132:F132"/>
    <mergeCell ref="G132:H132"/>
    <mergeCell ref="I132:J132"/>
    <mergeCell ref="E131:F131"/>
    <mergeCell ref="G131:H131"/>
    <mergeCell ref="I131:J131"/>
    <mergeCell ref="H14:J14"/>
    <mergeCell ref="C20:E20"/>
    <mergeCell ref="H20:J20"/>
    <mergeCell ref="C41:E41"/>
    <mergeCell ref="H41:J41"/>
    <mergeCell ref="A47:J56"/>
    <mergeCell ref="A57:K58"/>
    <mergeCell ref="I64:J64"/>
    <mergeCell ref="A65:G65"/>
    <mergeCell ref="H65:J65"/>
  </mergeCells>
  <dataValidations count="7">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99:J226 A252:J285 A310:J344" xr:uid="{EECE69B0-382B-4CC2-A1B6-3CDF47BBA086}"/>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B95E4D80-C918-4591-ABFB-A26F089F0242}"/>
    <dataValidation type="decimal" allowBlank="1" showInputMessage="1" showErrorMessage="1" prompt="Must enter amount in whole dollars." sqref="E132:E137 G132:G137 I132:I137 E139:E141 E184:E189 G184:G189 I184:I189 E191:E193 E237:E242 G237:G242 I237:I242 E244:E246 E295:E300 G295:G300 I295:I300 E302:E304 E354:E359 G354:G359 I354:I359 E361:E363 E412:E417 G412:G417 I412:I417 E419:E421 E470:E475 G470:G475 I470:I475 E477:E479 E528:E533 G528:G533 I528:I533 E535:E537 E586:E591 G586:G591 I586:I591 E593:E595 E644:E649 G644:G649 I644:I649 E651:E653 E702:E707 G702:G707 I702:I707 E709:E711 E760:E765 G760:G765 I760:I765 E767:E769 E818:E823 G818:G823 I818:I823 E825:E827 E876:E881 G876:G881 I876:I881 E883:E885" xr:uid="{00000000-0002-0000-0500-000004000000}">
      <formula1>0</formula1>
      <formula2>50000000</formula2>
    </dataValidation>
    <dataValidation type="list" allowBlank="1" showInputMessage="1" showErrorMessage="1" prompt="Please select from the drop down list." sqref="E182 E235 E293 E352 E410 E468 E526 E584 E642 E700 E758 E816 E874" xr:uid="{00000000-0002-0000-0500-000003000000}">
      <formula1>Expenditures</formula1>
    </dataValidation>
    <dataValidation type="custom" allowBlank="1" showInputMessage="1" showErrorMessage="1" prompt="Leave Blank or Describe Other Expenditure. " sqref="A139:A141 A191:A193 A244:A246 A302:A304 A361:A363 A419:A421 A477:A479 A535:A537 A593:A595 A651:A653 A709:A711 A767:A769 A825:A827 A883:A885" xr:uid="{00000000-0002-0000-0500-000002000000}">
      <formula1>AND(GTE(LEN(A139),MIN((1),(35))),LTE(LEN(A139),MAX((1),(35))))</formula1>
    </dataValidation>
    <dataValidation type="decimal" allowBlank="1" showInputMessage="1" showErrorMessage="1" prompt="Leave blank or enter amount in whole dollars." sqref="G139:G141 I139:I141 G191:G193 I191:I193 G244:G246 I244:I246 G302:G304 I302:I304 G361:G363 I361:I363 G419:G421 I419:I421 G477:G479 I477:I479 G535:G537 I535:I537 G593:G595 I593:I595 G651:G653 I651:I653 G709:G711 I709:I711 G767:G769 I767:I769 G825:G827 I825:I827 G883:G885 I883:I885" xr:uid="{00000000-0002-0000-0500-000001000000}">
      <formula1>0</formula1>
      <formula2>50000000</formula2>
    </dataValidation>
    <dataValidation type="list" allowBlank="1" showInputMessage="1" showErrorMessage="1" prompt="Please select from drop down list." sqref="E130" xr:uid="{00000000-0002-0000-0500-000000000000}">
      <formula1>Expenditures</formula1>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361" t="s">
        <v>185</v>
      </c>
      <c r="B1" s="362"/>
      <c r="C1" s="362"/>
      <c r="D1" s="362"/>
      <c r="E1" s="362"/>
      <c r="F1" s="362"/>
      <c r="G1" s="362"/>
      <c r="H1" s="362"/>
      <c r="I1" s="362"/>
      <c r="J1" s="363"/>
      <c r="K1" s="54"/>
      <c r="L1" s="54"/>
      <c r="M1" s="54"/>
      <c r="N1" s="54"/>
      <c r="O1" s="54"/>
      <c r="P1" s="54"/>
      <c r="Q1" s="54"/>
      <c r="R1" s="54"/>
      <c r="S1" s="54"/>
      <c r="T1" s="54"/>
      <c r="U1" s="54"/>
      <c r="V1" s="54"/>
      <c r="W1" s="54"/>
      <c r="X1" s="54"/>
      <c r="Y1" s="54"/>
      <c r="Z1" s="54"/>
    </row>
    <row r="2" spans="1:26" ht="12.75" customHeight="1"/>
    <row r="3" spans="1:26" ht="12.75" customHeight="1">
      <c r="A3" s="240" t="s">
        <v>17</v>
      </c>
      <c r="B3" s="197"/>
      <c r="C3" s="197"/>
      <c r="D3" s="197"/>
      <c r="E3" s="197"/>
      <c r="F3" s="197"/>
      <c r="G3" s="197"/>
      <c r="H3" s="364" t="str">
        <f>'CONTACT INFORMATION'!$A$24</f>
        <v>San Francisco</v>
      </c>
      <c r="I3" s="197"/>
      <c r="J3" s="198"/>
    </row>
    <row r="4" spans="1:26" ht="12.75" customHeight="1">
      <c r="A4" s="8"/>
      <c r="B4" s="8"/>
      <c r="C4" s="8"/>
      <c r="D4" s="8"/>
      <c r="E4" s="8"/>
      <c r="F4" s="8"/>
      <c r="G4" s="8"/>
      <c r="H4" s="9"/>
      <c r="I4" s="9"/>
      <c r="J4" s="9"/>
    </row>
    <row r="5" spans="1:26" ht="12.75" customHeight="1">
      <c r="A5" s="26"/>
      <c r="B5" s="26"/>
      <c r="C5" s="26"/>
      <c r="D5" s="26"/>
      <c r="E5" s="26"/>
      <c r="F5" s="26"/>
      <c r="G5" s="26"/>
      <c r="H5" s="26"/>
      <c r="I5" s="26"/>
      <c r="J5" s="26"/>
    </row>
    <row r="6" spans="1:26" ht="73.5" customHeight="1">
      <c r="A6" s="359" t="s">
        <v>186</v>
      </c>
      <c r="B6" s="192"/>
      <c r="C6" s="192"/>
      <c r="D6" s="192"/>
      <c r="E6" s="192"/>
      <c r="F6" s="192"/>
      <c r="G6" s="192"/>
      <c r="H6" s="192"/>
      <c r="I6" s="192"/>
      <c r="J6" s="192"/>
    </row>
    <row r="7" spans="1:26" ht="12.75" customHeight="1"/>
    <row r="8" spans="1:26" ht="12.75" customHeight="1"/>
    <row r="9" spans="1:26" ht="22.5" customHeight="1">
      <c r="A9" s="357" t="s">
        <v>187</v>
      </c>
      <c r="B9" s="181"/>
      <c r="C9" s="182"/>
      <c r="D9" s="55" t="s">
        <v>27</v>
      </c>
      <c r="G9" s="357" t="s">
        <v>188</v>
      </c>
      <c r="H9" s="181"/>
      <c r="I9" s="182"/>
      <c r="J9" s="55" t="s">
        <v>27</v>
      </c>
    </row>
    <row r="10" spans="1:26" ht="12.75" customHeight="1">
      <c r="A10" s="285" t="s">
        <v>189</v>
      </c>
      <c r="B10" s="181"/>
      <c r="C10" s="182"/>
      <c r="D10" s="56">
        <f>'REPORT 1'!$I$16</f>
        <v>1021</v>
      </c>
      <c r="E10" s="14"/>
      <c r="G10" s="285" t="s">
        <v>189</v>
      </c>
      <c r="H10" s="181"/>
      <c r="I10" s="182"/>
      <c r="J10" s="56">
        <f>'REPORT 1'!$I$27</f>
        <v>1021</v>
      </c>
    </row>
    <row r="11" spans="1:26" ht="12.75" customHeight="1"/>
    <row r="12" spans="1:26" ht="12.75" customHeight="1">
      <c r="A12" s="26"/>
      <c r="B12" s="26"/>
      <c r="C12" s="26"/>
      <c r="D12" s="26"/>
      <c r="E12" s="26"/>
      <c r="F12" s="26"/>
      <c r="G12" s="26"/>
      <c r="H12" s="26"/>
      <c r="I12" s="26"/>
      <c r="J12" s="26"/>
    </row>
    <row r="13" spans="1:26" ht="73.5" customHeight="1">
      <c r="A13" s="359" t="s">
        <v>190</v>
      </c>
      <c r="B13" s="192"/>
      <c r="C13" s="192"/>
      <c r="D13" s="192"/>
      <c r="E13" s="192"/>
      <c r="F13" s="192"/>
      <c r="G13" s="192"/>
      <c r="H13" s="192"/>
      <c r="I13" s="192"/>
      <c r="J13" s="192"/>
    </row>
    <row r="14" spans="1:26" ht="12.75" customHeight="1"/>
    <row r="15" spans="1:26" ht="12.75" customHeight="1"/>
    <row r="16" spans="1:26" ht="22.5" customHeight="1">
      <c r="A16" s="357" t="s">
        <v>39</v>
      </c>
      <c r="B16" s="181"/>
      <c r="C16" s="182"/>
      <c r="D16" s="55" t="s">
        <v>27</v>
      </c>
      <c r="G16" s="357" t="s">
        <v>187</v>
      </c>
      <c r="H16" s="181"/>
      <c r="I16" s="182"/>
      <c r="J16" s="55" t="s">
        <v>27</v>
      </c>
    </row>
    <row r="17" spans="1:10" ht="12.75" customHeight="1">
      <c r="D17" s="56">
        <f>'REPORT 3'!$J$9</f>
        <v>0</v>
      </c>
      <c r="G17" s="358" t="s">
        <v>189</v>
      </c>
      <c r="H17" s="181"/>
      <c r="I17" s="182"/>
      <c r="J17" s="56">
        <f>'REPORT 3'!$J$34</f>
        <v>509</v>
      </c>
    </row>
    <row r="18" spans="1:10" ht="12.75" customHeight="1">
      <c r="A18" s="57"/>
      <c r="B18" s="57"/>
      <c r="C18" s="57"/>
    </row>
    <row r="19" spans="1:10" ht="12.75" customHeight="1">
      <c r="A19" s="57"/>
      <c r="B19" s="57"/>
      <c r="C19" s="57"/>
    </row>
    <row r="20" spans="1:10" ht="22.5" customHeight="1">
      <c r="A20" s="357" t="s">
        <v>47</v>
      </c>
      <c r="B20" s="181"/>
      <c r="C20" s="182"/>
      <c r="D20" s="55" t="s">
        <v>27</v>
      </c>
      <c r="G20" s="357" t="s">
        <v>188</v>
      </c>
      <c r="H20" s="181"/>
      <c r="I20" s="182"/>
      <c r="J20" s="55" t="s">
        <v>27</v>
      </c>
    </row>
    <row r="21" spans="1:10" ht="12.75" customHeight="1">
      <c r="A21" s="285"/>
      <c r="B21" s="181"/>
      <c r="C21" s="182"/>
      <c r="D21" s="56">
        <f>'REPORT 3'!$J$26</f>
        <v>32</v>
      </c>
      <c r="G21" s="358" t="s">
        <v>189</v>
      </c>
      <c r="H21" s="181"/>
      <c r="I21" s="182"/>
      <c r="J21" s="56">
        <f>'REPORT 3'!$J$44</f>
        <v>509</v>
      </c>
    </row>
    <row r="22" spans="1:10" ht="12.75" customHeight="1">
      <c r="A22" s="57"/>
      <c r="B22" s="57"/>
      <c r="C22" s="57"/>
    </row>
    <row r="23" spans="1:10" ht="12.75" customHeight="1"/>
    <row r="24" spans="1:10" ht="70.5" customHeight="1">
      <c r="A24" s="360" t="s">
        <v>191</v>
      </c>
      <c r="B24" s="192"/>
      <c r="C24" s="192"/>
      <c r="D24" s="192"/>
      <c r="E24" s="192"/>
      <c r="F24" s="192"/>
      <c r="G24" s="192"/>
      <c r="H24" s="192"/>
      <c r="I24" s="192"/>
      <c r="J24" s="192"/>
    </row>
    <row r="25" spans="1:10" ht="12.75" customHeight="1"/>
    <row r="26" spans="1:10" ht="12.75" customHeight="1"/>
    <row r="27" spans="1:10" ht="22.5" customHeight="1">
      <c r="A27" s="357" t="s">
        <v>62</v>
      </c>
      <c r="B27" s="181"/>
      <c r="C27" s="181"/>
      <c r="D27" s="58" t="s">
        <v>27</v>
      </c>
      <c r="G27" s="357" t="s">
        <v>187</v>
      </c>
      <c r="H27" s="181"/>
      <c r="I27" s="182"/>
      <c r="J27" s="58" t="s">
        <v>27</v>
      </c>
    </row>
    <row r="28" spans="1:10" ht="15" customHeight="1">
      <c r="D28" s="56">
        <f>'ARREST REPORT'!$G$12</f>
        <v>1021</v>
      </c>
      <c r="G28" s="358" t="s">
        <v>189</v>
      </c>
      <c r="H28" s="181"/>
      <c r="I28" s="182"/>
      <c r="J28" s="56">
        <f>'ARREST REPORT'!$G$18</f>
        <v>1021</v>
      </c>
    </row>
    <row r="29" spans="1:10" ht="12.75" customHeight="1"/>
    <row r="30" spans="1:10" ht="12.75" customHeight="1"/>
    <row r="31" spans="1:10" ht="12.75" customHeight="1">
      <c r="G31" s="357" t="s">
        <v>188</v>
      </c>
      <c r="H31" s="181"/>
      <c r="I31" s="182"/>
      <c r="J31" s="58" t="s">
        <v>27</v>
      </c>
    </row>
    <row r="32" spans="1:10" ht="12.75" customHeight="1">
      <c r="G32" s="358" t="s">
        <v>189</v>
      </c>
      <c r="H32" s="181"/>
      <c r="I32" s="182"/>
      <c r="J32" s="56">
        <f>'ARREST REPORT'!$G$26</f>
        <v>1021</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57" t="s">
        <v>76</v>
      </c>
    </row>
    <row r="2" spans="1:1" ht="13.5" customHeight="1">
      <c r="A2" s="57" t="s">
        <v>78</v>
      </c>
    </row>
    <row r="3" spans="1:1" ht="13.5" customHeight="1">
      <c r="A3" s="57" t="s">
        <v>80</v>
      </c>
    </row>
    <row r="4" spans="1:1" ht="13.5" customHeight="1">
      <c r="A4" s="57" t="s">
        <v>82</v>
      </c>
    </row>
    <row r="5" spans="1:1" ht="13.5" customHeight="1">
      <c r="A5" s="57" t="s">
        <v>77</v>
      </c>
    </row>
    <row r="6" spans="1:1" ht="13.5" customHeight="1">
      <c r="A6" s="57" t="s">
        <v>79</v>
      </c>
    </row>
    <row r="7" spans="1:1" ht="13.5" customHeight="1">
      <c r="A7" s="57" t="s">
        <v>81</v>
      </c>
    </row>
    <row r="8" spans="1:1" ht="13.5" customHeight="1">
      <c r="A8" s="57" t="s">
        <v>84</v>
      </c>
    </row>
    <row r="9" spans="1:1" ht="13.5" customHeight="1">
      <c r="A9" s="57" t="s">
        <v>87</v>
      </c>
    </row>
    <row r="10" spans="1:1" ht="13.5" customHeight="1">
      <c r="A10" s="57" t="s">
        <v>89</v>
      </c>
    </row>
    <row r="11" spans="1:1" ht="13.5" customHeight="1">
      <c r="A11" s="57" t="s">
        <v>91</v>
      </c>
    </row>
    <row r="12" spans="1:1" ht="13.5" customHeight="1">
      <c r="A12" s="57" t="s">
        <v>93</v>
      </c>
    </row>
    <row r="13" spans="1:1" ht="13.5" customHeight="1">
      <c r="A13" s="57" t="s">
        <v>95</v>
      </c>
    </row>
    <row r="14" spans="1:1" ht="13.5" customHeight="1">
      <c r="A14" s="57" t="s">
        <v>97</v>
      </c>
    </row>
    <row r="15" spans="1:1" ht="13.5" customHeight="1">
      <c r="A15" s="57" t="s">
        <v>99</v>
      </c>
    </row>
    <row r="16" spans="1:1" ht="13.5" customHeight="1">
      <c r="A16" s="57" t="s">
        <v>101</v>
      </c>
    </row>
    <row r="17" spans="1:1" ht="13.5" customHeight="1">
      <c r="A17" s="57" t="s">
        <v>103</v>
      </c>
    </row>
    <row r="18" spans="1:1" ht="13.5" customHeight="1">
      <c r="A18" s="57" t="s">
        <v>105</v>
      </c>
    </row>
    <row r="19" spans="1:1" ht="13.5" customHeight="1">
      <c r="A19" s="57" t="s">
        <v>107</v>
      </c>
    </row>
    <row r="20" spans="1:1" ht="13.5" customHeight="1">
      <c r="A20" s="57" t="s">
        <v>109</v>
      </c>
    </row>
    <row r="21" spans="1:1" ht="13.5" customHeight="1">
      <c r="A21" s="57" t="s">
        <v>111</v>
      </c>
    </row>
    <row r="22" spans="1:1" ht="13.5" customHeight="1">
      <c r="A22" s="57" t="s">
        <v>113</v>
      </c>
    </row>
    <row r="23" spans="1:1" ht="13.5" customHeight="1">
      <c r="A23" s="57" t="s">
        <v>115</v>
      </c>
    </row>
    <row r="24" spans="1:1" ht="13.5" customHeight="1">
      <c r="A24" s="57" t="s">
        <v>117</v>
      </c>
    </row>
    <row r="25" spans="1:1" ht="13.5" customHeight="1">
      <c r="A25" s="57" t="s">
        <v>119</v>
      </c>
    </row>
    <row r="26" spans="1:1" ht="13.5" customHeight="1">
      <c r="A26" s="57" t="s">
        <v>167</v>
      </c>
    </row>
    <row r="27" spans="1:1" ht="13.5" customHeight="1">
      <c r="A27" s="57" t="s">
        <v>90</v>
      </c>
    </row>
    <row r="28" spans="1:1" ht="13.5" customHeight="1">
      <c r="A28" s="57" t="s">
        <v>92</v>
      </c>
    </row>
    <row r="29" spans="1:1" ht="13.5" customHeight="1">
      <c r="A29" s="57" t="s">
        <v>94</v>
      </c>
    </row>
    <row r="30" spans="1:1" ht="13.5" customHeight="1">
      <c r="A30" s="57" t="s">
        <v>96</v>
      </c>
    </row>
    <row r="31" spans="1:1" ht="13.5" customHeight="1">
      <c r="A31" s="57" t="s">
        <v>98</v>
      </c>
    </row>
    <row r="32" spans="1:1" ht="13.5" customHeight="1">
      <c r="A32" s="57" t="s">
        <v>100</v>
      </c>
    </row>
    <row r="33" spans="1:1" ht="13.5" customHeight="1">
      <c r="A33" s="57" t="s">
        <v>102</v>
      </c>
    </row>
    <row r="34" spans="1:1" ht="13.5" customHeight="1">
      <c r="A34" s="57" t="s">
        <v>104</v>
      </c>
    </row>
    <row r="35" spans="1:1" ht="13.5" customHeight="1">
      <c r="A35" s="57" t="s">
        <v>106</v>
      </c>
    </row>
    <row r="36" spans="1:1" ht="13.5" customHeight="1">
      <c r="A36" s="57" t="s">
        <v>108</v>
      </c>
    </row>
    <row r="37" spans="1:1" ht="13.5" customHeight="1">
      <c r="A37" s="57" t="s">
        <v>110</v>
      </c>
    </row>
    <row r="38" spans="1:1" ht="13.5" customHeight="1">
      <c r="A38" s="57" t="s">
        <v>112</v>
      </c>
    </row>
    <row r="39" spans="1:1" ht="13.5" customHeight="1">
      <c r="A39" s="57" t="s">
        <v>114</v>
      </c>
    </row>
    <row r="40" spans="1:1" ht="13.5" customHeight="1">
      <c r="A40" s="57" t="s">
        <v>116</v>
      </c>
    </row>
    <row r="41" spans="1:1" ht="13.5" customHeight="1">
      <c r="A41" s="57" t="s">
        <v>118</v>
      </c>
    </row>
    <row r="42" spans="1:1" ht="13.5" customHeight="1">
      <c r="A42" s="57" t="s">
        <v>120</v>
      </c>
    </row>
    <row r="43" spans="1:1" ht="13.5" customHeight="1">
      <c r="A43" s="57" t="s">
        <v>121</v>
      </c>
    </row>
    <row r="44" spans="1:1" ht="13.5" customHeight="1">
      <c r="A44" s="57" t="s">
        <v>123</v>
      </c>
    </row>
    <row r="45" spans="1:1" ht="13.5" customHeight="1">
      <c r="A45" s="57" t="s">
        <v>126</v>
      </c>
    </row>
    <row r="46" spans="1:1" ht="13.5" customHeight="1">
      <c r="A46" s="57" t="s">
        <v>129</v>
      </c>
    </row>
    <row r="47" spans="1:1" ht="13.5" customHeight="1">
      <c r="A47" s="57" t="s">
        <v>132</v>
      </c>
    </row>
    <row r="48" spans="1:1" ht="13.5" customHeight="1">
      <c r="A48" s="57" t="s">
        <v>124</v>
      </c>
    </row>
    <row r="49" spans="1:1" ht="13.5" customHeight="1">
      <c r="A49" s="57" t="s">
        <v>127</v>
      </c>
    </row>
    <row r="50" spans="1:1" ht="13.5" customHeight="1">
      <c r="A50" s="57" t="s">
        <v>192</v>
      </c>
    </row>
    <row r="51" spans="1:1" ht="13.5" customHeight="1">
      <c r="A51" s="57"/>
    </row>
    <row r="52" spans="1:1" ht="13.5" customHeight="1">
      <c r="A52" s="57"/>
    </row>
    <row r="53" spans="1:1" ht="13.5" customHeight="1">
      <c r="A53" s="57"/>
    </row>
    <row r="54" spans="1:1" ht="13.5" customHeight="1">
      <c r="A54" s="57"/>
    </row>
    <row r="55" spans="1:1" ht="13.5" customHeight="1">
      <c r="A55" s="57"/>
    </row>
    <row r="56" spans="1:1" ht="13.5" customHeight="1">
      <c r="A56" s="57"/>
    </row>
    <row r="57" spans="1:1" ht="13.5" customHeight="1">
      <c r="A57" s="57"/>
    </row>
    <row r="58" spans="1:1" ht="13.5" customHeight="1">
      <c r="A58" s="57"/>
    </row>
    <row r="59" spans="1:1" ht="13.5" customHeight="1">
      <c r="A59" s="57"/>
    </row>
    <row r="60" spans="1:1" ht="13.5" customHeight="1">
      <c r="A60" s="57"/>
    </row>
    <row r="61" spans="1:1" ht="13.5" customHeight="1">
      <c r="A61" s="57"/>
    </row>
    <row r="62" spans="1:1" ht="13.5" customHeight="1">
      <c r="A62" s="57"/>
    </row>
    <row r="63" spans="1:1" ht="13.5" customHeight="1">
      <c r="A63" s="57"/>
    </row>
    <row r="64" spans="1:1" ht="13.5" customHeight="1">
      <c r="A64" s="57"/>
    </row>
    <row r="65" spans="1:1" ht="13.5" customHeight="1">
      <c r="A65" s="57"/>
    </row>
    <row r="66" spans="1:1" ht="13.5" customHeight="1">
      <c r="A66" s="57"/>
    </row>
    <row r="67" spans="1:1" ht="13.5" customHeight="1">
      <c r="A67" s="57"/>
    </row>
    <row r="68" spans="1:1" ht="13.5" customHeight="1">
      <c r="A68" s="57"/>
    </row>
    <row r="69" spans="1:1" ht="13.5" customHeight="1">
      <c r="A69" s="57"/>
    </row>
    <row r="70" spans="1:1" ht="13.5" customHeight="1">
      <c r="A70" s="57"/>
    </row>
    <row r="71" spans="1:1" ht="13.5" customHeight="1">
      <c r="A71" s="57"/>
    </row>
    <row r="72" spans="1:1" ht="13.5" customHeight="1">
      <c r="A72" s="57"/>
    </row>
    <row r="73" spans="1:1" ht="13.5" customHeight="1">
      <c r="A73" s="57"/>
    </row>
    <row r="74" spans="1:1" ht="13.5" customHeight="1">
      <c r="A74" s="57"/>
    </row>
    <row r="75" spans="1:1" ht="13.5" customHeight="1">
      <c r="A75" s="57"/>
    </row>
    <row r="76" spans="1:1" ht="13.5" customHeight="1">
      <c r="A76" s="57"/>
    </row>
    <row r="77" spans="1:1" ht="13.5" customHeight="1">
      <c r="A77" s="57"/>
    </row>
    <row r="78" spans="1:1" ht="13.5" customHeight="1">
      <c r="A78" s="57"/>
    </row>
    <row r="79" spans="1:1" ht="13.5" customHeight="1">
      <c r="A79" s="57"/>
    </row>
    <row r="80" spans="1:1" ht="13.5" customHeight="1">
      <c r="A80" s="57"/>
    </row>
    <row r="81" spans="1:1" ht="13.5" customHeight="1">
      <c r="A81" s="57"/>
    </row>
    <row r="82" spans="1:1" ht="13.5" customHeight="1">
      <c r="A82" s="57"/>
    </row>
    <row r="83" spans="1:1" ht="13.5" customHeight="1">
      <c r="A83" s="57"/>
    </row>
    <row r="84" spans="1:1" ht="13.5" customHeight="1">
      <c r="A84" s="57"/>
    </row>
    <row r="85" spans="1:1" ht="13.5" customHeight="1">
      <c r="A85" s="57"/>
    </row>
    <row r="86" spans="1:1" ht="13.5" customHeight="1">
      <c r="A86" s="57"/>
    </row>
    <row r="87" spans="1:1" ht="13.5" customHeight="1">
      <c r="A87" s="57"/>
    </row>
    <row r="88" spans="1:1" ht="13.5" customHeight="1">
      <c r="A88" s="57"/>
    </row>
    <row r="89" spans="1:1" ht="13.5" customHeight="1">
      <c r="A89" s="57"/>
    </row>
    <row r="90" spans="1:1" ht="13.5" customHeight="1">
      <c r="A90" s="57"/>
    </row>
    <row r="91" spans="1:1" ht="13.5" customHeight="1">
      <c r="A91" s="57"/>
    </row>
    <row r="92" spans="1:1" ht="13.5" customHeight="1">
      <c r="A92" s="57"/>
    </row>
    <row r="93" spans="1:1" ht="13.5" customHeight="1">
      <c r="A93" s="57"/>
    </row>
    <row r="94" spans="1:1" ht="13.5" customHeight="1">
      <c r="A94" s="57"/>
    </row>
    <row r="95" spans="1:1" ht="13.5" customHeight="1">
      <c r="A95" s="57"/>
    </row>
    <row r="96" spans="1:1" ht="13.5" customHeight="1">
      <c r="A96" s="57"/>
    </row>
    <row r="97" spans="1:1" ht="13.5" customHeight="1">
      <c r="A97" s="57"/>
    </row>
    <row r="98" spans="1:1" ht="13.5" customHeight="1">
      <c r="A98" s="57"/>
    </row>
    <row r="99" spans="1:1" ht="13.5" customHeight="1">
      <c r="A99" s="57"/>
    </row>
    <row r="100" spans="1:1" ht="13.5" customHeight="1">
      <c r="A100" s="57"/>
    </row>
    <row r="101" spans="1:1" ht="13.5" customHeight="1">
      <c r="A101" s="57"/>
    </row>
    <row r="102" spans="1:1" ht="13.5" customHeight="1">
      <c r="A102" s="57"/>
    </row>
    <row r="103" spans="1:1" ht="13.5" customHeight="1">
      <c r="A103" s="57"/>
    </row>
    <row r="104" spans="1:1" ht="13.5" customHeight="1">
      <c r="A104" s="57"/>
    </row>
    <row r="105" spans="1:1" ht="13.5" customHeight="1">
      <c r="A105" s="57"/>
    </row>
    <row r="106" spans="1:1" ht="13.5" customHeight="1">
      <c r="A106" s="57"/>
    </row>
    <row r="107" spans="1:1" ht="13.5" customHeight="1">
      <c r="A107" s="57"/>
    </row>
    <row r="108" spans="1:1" ht="13.5" customHeight="1">
      <c r="A108" s="57"/>
    </row>
    <row r="109" spans="1:1" ht="13.5" customHeight="1">
      <c r="A109" s="57"/>
    </row>
    <row r="110" spans="1:1" ht="13.5" customHeight="1">
      <c r="A110" s="57"/>
    </row>
    <row r="111" spans="1:1" ht="13.5" customHeight="1">
      <c r="A111" s="57"/>
    </row>
    <row r="112" spans="1:1" ht="13.5" customHeight="1">
      <c r="A112" s="57"/>
    </row>
    <row r="113" spans="1:1" ht="13.5" customHeight="1">
      <c r="A113" s="57"/>
    </row>
    <row r="114" spans="1:1" ht="13.5" customHeight="1">
      <c r="A114" s="57"/>
    </row>
    <row r="115" spans="1:1" ht="13.5" customHeight="1">
      <c r="A115" s="57"/>
    </row>
    <row r="116" spans="1:1" ht="13.5" customHeight="1">
      <c r="A116" s="57"/>
    </row>
    <row r="117" spans="1:1" ht="13.5" customHeight="1">
      <c r="A117" s="57"/>
    </row>
    <row r="118" spans="1:1" ht="13.5" customHeight="1">
      <c r="A118" s="57"/>
    </row>
    <row r="119" spans="1:1" ht="13.5" customHeight="1">
      <c r="A119" s="57"/>
    </row>
    <row r="120" spans="1:1" ht="13.5" customHeight="1">
      <c r="A120" s="57"/>
    </row>
    <row r="121" spans="1:1" ht="13.5" customHeight="1">
      <c r="A121" s="57"/>
    </row>
    <row r="122" spans="1:1" ht="13.5" customHeight="1">
      <c r="A122" s="57"/>
    </row>
    <row r="123" spans="1:1" ht="13.5" customHeight="1">
      <c r="A123" s="57"/>
    </row>
    <row r="124" spans="1:1" ht="13.5" customHeight="1">
      <c r="A124" s="57"/>
    </row>
    <row r="125" spans="1:1" ht="13.5" customHeight="1">
      <c r="A125" s="57"/>
    </row>
    <row r="126" spans="1:1" ht="13.5" customHeight="1">
      <c r="A126" s="57"/>
    </row>
    <row r="127" spans="1:1" ht="13.5" customHeight="1">
      <c r="A127" s="57"/>
    </row>
    <row r="128" spans="1:1" ht="13.5" customHeight="1">
      <c r="A128" s="57"/>
    </row>
    <row r="129" spans="1:1" ht="13.5" customHeight="1">
      <c r="A129" s="57"/>
    </row>
    <row r="130" spans="1:1" ht="13.5" customHeight="1">
      <c r="A130" s="57"/>
    </row>
    <row r="131" spans="1:1" ht="13.5" customHeight="1">
      <c r="A131" s="57"/>
    </row>
    <row r="132" spans="1:1" ht="13.5" customHeight="1">
      <c r="A132" s="57"/>
    </row>
    <row r="133" spans="1:1" ht="13.5" customHeight="1">
      <c r="A133" s="57"/>
    </row>
    <row r="134" spans="1:1" ht="13.5" customHeight="1">
      <c r="A134" s="57"/>
    </row>
    <row r="135" spans="1:1" ht="13.5" customHeight="1">
      <c r="A135" s="57"/>
    </row>
    <row r="136" spans="1:1" ht="13.5" customHeight="1">
      <c r="A136" s="57"/>
    </row>
    <row r="137" spans="1:1" ht="13.5" customHeight="1">
      <c r="A137" s="57"/>
    </row>
    <row r="138" spans="1:1" ht="13.5" customHeight="1">
      <c r="A138" s="57"/>
    </row>
    <row r="139" spans="1:1" ht="13.5" customHeight="1">
      <c r="A139" s="57"/>
    </row>
    <row r="140" spans="1:1" ht="13.5" customHeight="1">
      <c r="A140" s="57"/>
    </row>
    <row r="141" spans="1:1" ht="13.5" customHeight="1">
      <c r="A141" s="57"/>
    </row>
    <row r="142" spans="1:1" ht="13.5" customHeight="1">
      <c r="A142" s="57"/>
    </row>
    <row r="143" spans="1:1" ht="13.5" customHeight="1">
      <c r="A143" s="57"/>
    </row>
    <row r="144" spans="1:1" ht="13.5" customHeight="1">
      <c r="A144" s="57"/>
    </row>
    <row r="145" spans="1:1" ht="13.5" customHeight="1">
      <c r="A145" s="57"/>
    </row>
    <row r="146" spans="1:1" ht="13.5" customHeight="1">
      <c r="A146" s="57"/>
    </row>
    <row r="147" spans="1:1" ht="13.5" customHeight="1">
      <c r="A147" s="57"/>
    </row>
    <row r="148" spans="1:1" ht="13.5" customHeight="1">
      <c r="A148" s="57"/>
    </row>
    <row r="149" spans="1:1" ht="13.5" customHeight="1">
      <c r="A149" s="57"/>
    </row>
    <row r="150" spans="1:1" ht="13.5" customHeight="1">
      <c r="A150" s="57"/>
    </row>
    <row r="151" spans="1:1" ht="13.5" customHeight="1">
      <c r="A151" s="57"/>
    </row>
    <row r="152" spans="1:1" ht="13.5" customHeight="1">
      <c r="A152" s="57"/>
    </row>
    <row r="153" spans="1:1" ht="13.5" customHeight="1">
      <c r="A153" s="57"/>
    </row>
    <row r="154" spans="1:1" ht="13.5" customHeight="1">
      <c r="A154" s="57"/>
    </row>
    <row r="155" spans="1:1" ht="13.5" customHeight="1">
      <c r="A155" s="57"/>
    </row>
    <row r="156" spans="1:1" ht="13.5" customHeight="1">
      <c r="A156" s="57"/>
    </row>
    <row r="157" spans="1:1" ht="13.5" customHeight="1">
      <c r="A157" s="57"/>
    </row>
    <row r="158" spans="1:1" ht="13.5" customHeight="1">
      <c r="A158" s="57"/>
    </row>
    <row r="159" spans="1:1" ht="13.5" customHeight="1">
      <c r="A159" s="57"/>
    </row>
    <row r="160" spans="1:1" ht="13.5" customHeight="1">
      <c r="A160" s="57"/>
    </row>
    <row r="161" spans="1:1" ht="13.5" customHeight="1">
      <c r="A161" s="57"/>
    </row>
    <row r="162" spans="1:1" ht="13.5" customHeight="1">
      <c r="A162" s="57"/>
    </row>
    <row r="163" spans="1:1" ht="13.5" customHeight="1">
      <c r="A163" s="57"/>
    </row>
    <row r="164" spans="1:1" ht="13.5" customHeight="1">
      <c r="A164" s="57"/>
    </row>
    <row r="165" spans="1:1" ht="13.5" customHeight="1">
      <c r="A165" s="57"/>
    </row>
    <row r="166" spans="1:1" ht="13.5" customHeight="1">
      <c r="A166" s="57"/>
    </row>
    <row r="167" spans="1:1" ht="13.5" customHeight="1">
      <c r="A167" s="57"/>
    </row>
    <row r="168" spans="1:1" ht="13.5" customHeight="1">
      <c r="A168" s="57"/>
    </row>
    <row r="169" spans="1:1" ht="13.5" customHeight="1">
      <c r="A169" s="57"/>
    </row>
    <row r="170" spans="1:1" ht="13.5" customHeight="1">
      <c r="A170" s="57"/>
    </row>
    <row r="171" spans="1:1" ht="13.5" customHeight="1">
      <c r="A171" s="57"/>
    </row>
    <row r="172" spans="1:1" ht="13.5" customHeight="1">
      <c r="A172" s="57"/>
    </row>
    <row r="173" spans="1:1" ht="13.5" customHeight="1">
      <c r="A173" s="57"/>
    </row>
    <row r="174" spans="1:1" ht="13.5" customHeight="1">
      <c r="A174" s="57"/>
    </row>
    <row r="175" spans="1:1" ht="13.5" customHeight="1">
      <c r="A175" s="57"/>
    </row>
    <row r="176" spans="1:1" ht="13.5" customHeight="1">
      <c r="A176" s="57"/>
    </row>
    <row r="177" spans="1:1" ht="13.5" customHeight="1">
      <c r="A177" s="57"/>
    </row>
    <row r="178" spans="1:1" ht="13.5" customHeight="1">
      <c r="A178" s="57"/>
    </row>
    <row r="179" spans="1:1" ht="13.5" customHeight="1">
      <c r="A179" s="57"/>
    </row>
    <row r="180" spans="1:1" ht="13.5" customHeight="1">
      <c r="A180" s="57"/>
    </row>
    <row r="181" spans="1:1" ht="13.5" customHeight="1">
      <c r="A181" s="57"/>
    </row>
    <row r="182" spans="1:1" ht="13.5" customHeight="1">
      <c r="A182" s="57"/>
    </row>
    <row r="183" spans="1:1" ht="13.5" customHeight="1">
      <c r="A183" s="57"/>
    </row>
    <row r="184" spans="1:1" ht="13.5" customHeight="1">
      <c r="A184" s="57"/>
    </row>
    <row r="185" spans="1:1" ht="13.5" customHeight="1">
      <c r="A185" s="57"/>
    </row>
    <row r="186" spans="1:1" ht="13.5" customHeight="1">
      <c r="A186" s="57"/>
    </row>
    <row r="187" spans="1:1" ht="13.5" customHeight="1">
      <c r="A187" s="57"/>
    </row>
    <row r="188" spans="1:1" ht="13.5" customHeight="1">
      <c r="A188" s="57"/>
    </row>
    <row r="189" spans="1:1" ht="13.5" customHeight="1">
      <c r="A189" s="57"/>
    </row>
    <row r="190" spans="1:1" ht="13.5" customHeight="1">
      <c r="A190" s="57"/>
    </row>
    <row r="191" spans="1:1" ht="13.5" customHeight="1">
      <c r="A191" s="57"/>
    </row>
    <row r="192" spans="1:1" ht="13.5" customHeight="1">
      <c r="A192" s="57"/>
    </row>
    <row r="193" spans="1:1" ht="13.5" customHeight="1">
      <c r="A193" s="57"/>
    </row>
    <row r="194" spans="1:1" ht="13.5" customHeight="1">
      <c r="A194" s="57"/>
    </row>
    <row r="195" spans="1:1" ht="13.5" customHeight="1">
      <c r="A195" s="57"/>
    </row>
    <row r="196" spans="1:1" ht="13.5" customHeight="1">
      <c r="A196" s="57"/>
    </row>
    <row r="197" spans="1:1" ht="13.5" customHeight="1">
      <c r="A197" s="57"/>
    </row>
    <row r="198" spans="1:1" ht="13.5" customHeight="1">
      <c r="A198" s="57"/>
    </row>
    <row r="199" spans="1:1" ht="13.5" customHeight="1">
      <c r="A199" s="57"/>
    </row>
    <row r="200" spans="1:1" ht="13.5" customHeight="1">
      <c r="A200" s="57"/>
    </row>
    <row r="201" spans="1:1" ht="13.5" customHeight="1">
      <c r="A201" s="57"/>
    </row>
    <row r="202" spans="1:1" ht="13.5" customHeight="1">
      <c r="A202" s="57"/>
    </row>
    <row r="203" spans="1:1" ht="13.5" customHeight="1">
      <c r="A203" s="57"/>
    </row>
    <row r="204" spans="1:1" ht="13.5" customHeight="1">
      <c r="A204" s="57"/>
    </row>
    <row r="205" spans="1:1" ht="13.5" customHeight="1">
      <c r="A205" s="57"/>
    </row>
    <row r="206" spans="1:1" ht="13.5" customHeight="1">
      <c r="A206" s="57"/>
    </row>
    <row r="207" spans="1:1" ht="13.5" customHeight="1">
      <c r="A207" s="57"/>
    </row>
    <row r="208" spans="1:1" ht="13.5" customHeight="1">
      <c r="A208" s="57"/>
    </row>
    <row r="209" spans="1:1" ht="13.5" customHeight="1">
      <c r="A209" s="57"/>
    </row>
    <row r="210" spans="1:1" ht="13.5" customHeight="1">
      <c r="A210" s="57"/>
    </row>
    <row r="211" spans="1:1" ht="13.5" customHeight="1">
      <c r="A211" s="57"/>
    </row>
    <row r="212" spans="1:1" ht="13.5" customHeight="1">
      <c r="A212" s="57"/>
    </row>
    <row r="213" spans="1:1" ht="13.5" customHeight="1">
      <c r="A213" s="57"/>
    </row>
    <row r="214" spans="1:1" ht="13.5" customHeight="1">
      <c r="A214" s="57"/>
    </row>
    <row r="215" spans="1:1" ht="13.5" customHeight="1">
      <c r="A215" s="57"/>
    </row>
    <row r="216" spans="1:1" ht="13.5" customHeight="1">
      <c r="A216" s="57"/>
    </row>
    <row r="217" spans="1:1" ht="13.5" customHeight="1">
      <c r="A217" s="57"/>
    </row>
    <row r="218" spans="1:1" ht="13.5" customHeight="1">
      <c r="A218" s="57"/>
    </row>
    <row r="219" spans="1:1" ht="13.5" customHeight="1">
      <c r="A219" s="57"/>
    </row>
    <row r="220" spans="1:1" ht="13.5" customHeight="1">
      <c r="A220" s="57"/>
    </row>
    <row r="221" spans="1:1" ht="13.5" customHeight="1">
      <c r="A221" s="57"/>
    </row>
    <row r="222" spans="1:1" ht="13.5" customHeight="1">
      <c r="A222" s="57"/>
    </row>
    <row r="223" spans="1:1" ht="13.5" customHeight="1">
      <c r="A223" s="57"/>
    </row>
    <row r="224" spans="1:1" ht="13.5" customHeight="1">
      <c r="A224" s="57"/>
    </row>
    <row r="225" spans="1:1" ht="13.5" customHeight="1">
      <c r="A225" s="57"/>
    </row>
    <row r="226" spans="1:1" ht="13.5" customHeight="1">
      <c r="A226" s="57"/>
    </row>
    <row r="227" spans="1:1" ht="13.5" customHeight="1">
      <c r="A227" s="57"/>
    </row>
    <row r="228" spans="1:1" ht="13.5" customHeight="1">
      <c r="A228" s="57"/>
    </row>
    <row r="229" spans="1:1" ht="13.5" customHeight="1">
      <c r="A229" s="57"/>
    </row>
    <row r="230" spans="1:1" ht="13.5" customHeight="1">
      <c r="A230" s="57"/>
    </row>
    <row r="231" spans="1:1" ht="13.5" customHeight="1">
      <c r="A231" s="57"/>
    </row>
    <row r="232" spans="1:1" ht="13.5" customHeight="1">
      <c r="A232" s="57"/>
    </row>
    <row r="233" spans="1:1" ht="13.5" customHeight="1">
      <c r="A233" s="57"/>
    </row>
    <row r="234" spans="1:1" ht="13.5" customHeight="1">
      <c r="A234" s="57"/>
    </row>
    <row r="235" spans="1:1" ht="13.5" customHeight="1">
      <c r="A235" s="57"/>
    </row>
    <row r="236" spans="1:1" ht="13.5" customHeight="1">
      <c r="A236" s="57"/>
    </row>
    <row r="237" spans="1:1" ht="13.5" customHeight="1">
      <c r="A237" s="57"/>
    </row>
    <row r="238" spans="1:1" ht="13.5" customHeight="1">
      <c r="A238" s="57"/>
    </row>
    <row r="239" spans="1:1" ht="13.5" customHeight="1">
      <c r="A239" s="57"/>
    </row>
    <row r="240" spans="1:1" ht="13.5" customHeight="1">
      <c r="A240" s="57"/>
    </row>
    <row r="241" spans="1:1" ht="13.5" customHeight="1">
      <c r="A241" s="57"/>
    </row>
    <row r="242" spans="1:1" ht="13.5" customHeight="1">
      <c r="A242" s="57"/>
    </row>
    <row r="243" spans="1:1" ht="13.5" customHeight="1">
      <c r="A243" s="57"/>
    </row>
    <row r="244" spans="1:1" ht="13.5" customHeight="1">
      <c r="A244" s="57"/>
    </row>
    <row r="245" spans="1:1" ht="13.5" customHeight="1">
      <c r="A245" s="57"/>
    </row>
    <row r="246" spans="1:1" ht="13.5" customHeight="1">
      <c r="A246" s="57"/>
    </row>
    <row r="247" spans="1:1" ht="13.5" customHeight="1">
      <c r="A247" s="57"/>
    </row>
    <row r="248" spans="1:1" ht="13.5" customHeight="1">
      <c r="A248" s="57"/>
    </row>
    <row r="249" spans="1:1" ht="13.5" customHeight="1">
      <c r="A249" s="57"/>
    </row>
    <row r="250" spans="1:1" ht="13.5" customHeight="1">
      <c r="A250" s="57"/>
    </row>
    <row r="251" spans="1:1" ht="13.5" customHeight="1">
      <c r="A251" s="57"/>
    </row>
    <row r="252" spans="1:1" ht="13.5" customHeight="1">
      <c r="A252" s="57"/>
    </row>
    <row r="253" spans="1:1" ht="13.5" customHeight="1">
      <c r="A253" s="57"/>
    </row>
    <row r="254" spans="1:1" ht="13.5" customHeight="1">
      <c r="A254" s="57"/>
    </row>
    <row r="255" spans="1:1" ht="13.5" customHeight="1">
      <c r="A255" s="57"/>
    </row>
    <row r="256" spans="1:1" ht="13.5" customHeight="1">
      <c r="A256" s="57"/>
    </row>
    <row r="257" spans="1:1" ht="13.5" customHeight="1">
      <c r="A257" s="57"/>
    </row>
    <row r="258" spans="1:1" ht="13.5" customHeight="1">
      <c r="A258" s="57"/>
    </row>
    <row r="259" spans="1:1" ht="13.5" customHeight="1">
      <c r="A259" s="57"/>
    </row>
    <row r="260" spans="1:1" ht="13.5" customHeight="1">
      <c r="A260" s="57"/>
    </row>
    <row r="261" spans="1:1" ht="13.5" customHeight="1">
      <c r="A261" s="57"/>
    </row>
    <row r="262" spans="1:1" ht="13.5" customHeight="1">
      <c r="A262" s="57"/>
    </row>
    <row r="263" spans="1:1" ht="13.5" customHeight="1">
      <c r="A263" s="57"/>
    </row>
    <row r="264" spans="1:1" ht="13.5" customHeight="1">
      <c r="A264" s="57"/>
    </row>
    <row r="265" spans="1:1" ht="13.5" customHeight="1">
      <c r="A265" s="57"/>
    </row>
    <row r="266" spans="1:1" ht="13.5" customHeight="1">
      <c r="A266" s="57"/>
    </row>
    <row r="267" spans="1:1" ht="13.5" customHeight="1">
      <c r="A267" s="57"/>
    </row>
    <row r="268" spans="1:1" ht="13.5" customHeight="1">
      <c r="A268" s="57"/>
    </row>
    <row r="269" spans="1:1" ht="13.5" customHeight="1">
      <c r="A269" s="57"/>
    </row>
    <row r="270" spans="1:1" ht="13.5" customHeight="1">
      <c r="A270" s="57"/>
    </row>
    <row r="271" spans="1:1" ht="13.5" customHeight="1">
      <c r="A271" s="57"/>
    </row>
    <row r="272" spans="1:1" ht="13.5" customHeight="1">
      <c r="A272" s="57"/>
    </row>
    <row r="273" spans="1:1" ht="13.5" customHeight="1">
      <c r="A273" s="57"/>
    </row>
    <row r="274" spans="1:1" ht="13.5" customHeight="1">
      <c r="A274" s="57"/>
    </row>
    <row r="275" spans="1:1" ht="13.5" customHeight="1">
      <c r="A275" s="57"/>
    </row>
    <row r="276" spans="1:1" ht="13.5" customHeight="1">
      <c r="A276" s="57"/>
    </row>
    <row r="277" spans="1:1" ht="13.5" customHeight="1">
      <c r="A277" s="57"/>
    </row>
    <row r="278" spans="1:1" ht="13.5" customHeight="1">
      <c r="A278" s="57"/>
    </row>
    <row r="279" spans="1:1" ht="13.5" customHeight="1">
      <c r="A279" s="57"/>
    </row>
    <row r="280" spans="1:1" ht="13.5" customHeight="1">
      <c r="A280" s="57"/>
    </row>
    <row r="281" spans="1:1" ht="13.5" customHeight="1">
      <c r="A281" s="57"/>
    </row>
    <row r="282" spans="1:1" ht="13.5" customHeight="1">
      <c r="A282" s="57"/>
    </row>
    <row r="283" spans="1:1" ht="13.5" customHeight="1">
      <c r="A283" s="57"/>
    </row>
    <row r="284" spans="1:1" ht="13.5" customHeight="1">
      <c r="A284" s="57"/>
    </row>
    <row r="285" spans="1:1" ht="13.5" customHeight="1">
      <c r="A285" s="57"/>
    </row>
    <row r="286" spans="1:1" ht="13.5" customHeight="1">
      <c r="A286" s="57"/>
    </row>
    <row r="287" spans="1:1" ht="13.5" customHeight="1">
      <c r="A287" s="57"/>
    </row>
    <row r="288" spans="1:1" ht="13.5" customHeight="1">
      <c r="A288" s="57"/>
    </row>
    <row r="289" spans="1:1" ht="13.5" customHeight="1">
      <c r="A289" s="57"/>
    </row>
    <row r="290" spans="1:1" ht="13.5" customHeight="1">
      <c r="A290" s="57"/>
    </row>
    <row r="291" spans="1:1" ht="13.5" customHeight="1">
      <c r="A291" s="57"/>
    </row>
    <row r="292" spans="1:1" ht="13.5" customHeight="1">
      <c r="A292" s="57"/>
    </row>
    <row r="293" spans="1:1" ht="13.5" customHeight="1">
      <c r="A293" s="57"/>
    </row>
    <row r="294" spans="1:1" ht="13.5" customHeight="1">
      <c r="A294" s="57"/>
    </row>
    <row r="295" spans="1:1" ht="13.5" customHeight="1">
      <c r="A295" s="57"/>
    </row>
    <row r="296" spans="1:1" ht="13.5" customHeight="1">
      <c r="A296" s="57"/>
    </row>
    <row r="297" spans="1:1" ht="13.5" customHeight="1">
      <c r="A297" s="57"/>
    </row>
    <row r="298" spans="1:1" ht="13.5" customHeight="1">
      <c r="A298" s="57"/>
    </row>
    <row r="299" spans="1:1" ht="13.5" customHeight="1">
      <c r="A299" s="57"/>
    </row>
    <row r="300" spans="1:1" ht="13.5" customHeight="1">
      <c r="A300" s="57"/>
    </row>
    <row r="301" spans="1:1" ht="13.5" customHeight="1">
      <c r="A301" s="57"/>
    </row>
    <row r="302" spans="1:1" ht="13.5" customHeight="1">
      <c r="A302" s="57"/>
    </row>
    <row r="303" spans="1:1" ht="13.5" customHeight="1">
      <c r="A303" s="57"/>
    </row>
    <row r="304" spans="1:1" ht="13.5" customHeight="1">
      <c r="A304" s="57"/>
    </row>
    <row r="305" spans="1:1" ht="13.5" customHeight="1">
      <c r="A305" s="57"/>
    </row>
    <row r="306" spans="1:1" ht="13.5" customHeight="1">
      <c r="A306" s="57"/>
    </row>
    <row r="307" spans="1:1" ht="13.5" customHeight="1">
      <c r="A307" s="57"/>
    </row>
    <row r="308" spans="1:1" ht="13.5" customHeight="1">
      <c r="A308" s="57"/>
    </row>
    <row r="309" spans="1:1" ht="13.5" customHeight="1">
      <c r="A309" s="57"/>
    </row>
    <row r="310" spans="1:1" ht="13.5" customHeight="1">
      <c r="A310" s="57"/>
    </row>
    <row r="311" spans="1:1" ht="13.5" customHeight="1">
      <c r="A311" s="57"/>
    </row>
    <row r="312" spans="1:1" ht="13.5" customHeight="1">
      <c r="A312" s="57"/>
    </row>
    <row r="313" spans="1:1" ht="13.5" customHeight="1">
      <c r="A313" s="57"/>
    </row>
    <row r="314" spans="1:1" ht="13.5" customHeight="1">
      <c r="A314" s="57"/>
    </row>
    <row r="315" spans="1:1" ht="13.5" customHeight="1">
      <c r="A315" s="57"/>
    </row>
    <row r="316" spans="1:1" ht="13.5" customHeight="1">
      <c r="A316" s="57"/>
    </row>
    <row r="317" spans="1:1" ht="13.5" customHeight="1">
      <c r="A317" s="57"/>
    </row>
    <row r="318" spans="1:1" ht="13.5" customHeight="1">
      <c r="A318" s="57"/>
    </row>
    <row r="319" spans="1:1" ht="13.5" customHeight="1">
      <c r="A319" s="57"/>
    </row>
    <row r="320" spans="1:1" ht="13.5" customHeight="1">
      <c r="A320" s="57"/>
    </row>
    <row r="321" spans="1:1" ht="13.5" customHeight="1">
      <c r="A321" s="57"/>
    </row>
    <row r="322" spans="1:1" ht="13.5" customHeight="1">
      <c r="A322" s="57"/>
    </row>
    <row r="323" spans="1:1" ht="13.5" customHeight="1">
      <c r="A323" s="57"/>
    </row>
    <row r="324" spans="1:1" ht="13.5" customHeight="1">
      <c r="A324" s="57"/>
    </row>
    <row r="325" spans="1:1" ht="13.5" customHeight="1">
      <c r="A325" s="57"/>
    </row>
    <row r="326" spans="1:1" ht="13.5" customHeight="1">
      <c r="A326" s="57"/>
    </row>
    <row r="327" spans="1:1" ht="13.5" customHeight="1">
      <c r="A327" s="57"/>
    </row>
    <row r="328" spans="1:1" ht="13.5" customHeight="1">
      <c r="A328" s="57"/>
    </row>
    <row r="329" spans="1:1" ht="13.5" customHeight="1">
      <c r="A329" s="57"/>
    </row>
    <row r="330" spans="1:1" ht="13.5" customHeight="1">
      <c r="A330" s="57"/>
    </row>
    <row r="331" spans="1:1" ht="13.5" customHeight="1">
      <c r="A331" s="57"/>
    </row>
    <row r="332" spans="1:1" ht="13.5" customHeight="1">
      <c r="A332" s="57"/>
    </row>
    <row r="333" spans="1:1" ht="13.5" customHeight="1">
      <c r="A333" s="57"/>
    </row>
    <row r="334" spans="1:1" ht="13.5" customHeight="1">
      <c r="A334" s="57"/>
    </row>
    <row r="335" spans="1:1" ht="13.5" customHeight="1">
      <c r="A335" s="57"/>
    </row>
    <row r="336" spans="1:1" ht="13.5" customHeight="1">
      <c r="A336" s="57"/>
    </row>
    <row r="337" spans="1:1" ht="13.5" customHeight="1">
      <c r="A337" s="57"/>
    </row>
    <row r="338" spans="1:1" ht="13.5" customHeight="1">
      <c r="A338" s="57"/>
    </row>
    <row r="339" spans="1:1" ht="13.5" customHeight="1">
      <c r="A339" s="57"/>
    </row>
    <row r="340" spans="1:1" ht="13.5" customHeight="1">
      <c r="A340" s="57"/>
    </row>
    <row r="341" spans="1:1" ht="13.5" customHeight="1">
      <c r="A341" s="57"/>
    </row>
    <row r="342" spans="1:1" ht="13.5" customHeight="1">
      <c r="A342" s="57"/>
    </row>
    <row r="343" spans="1:1" ht="13.5" customHeight="1">
      <c r="A343" s="57"/>
    </row>
    <row r="344" spans="1:1" ht="13.5" customHeight="1">
      <c r="A344" s="57"/>
    </row>
    <row r="345" spans="1:1" ht="13.5" customHeight="1">
      <c r="A345" s="57"/>
    </row>
    <row r="346" spans="1:1" ht="13.5" customHeight="1">
      <c r="A346" s="57"/>
    </row>
    <row r="347" spans="1:1" ht="13.5" customHeight="1">
      <c r="A347" s="57"/>
    </row>
    <row r="348" spans="1:1" ht="13.5" customHeight="1">
      <c r="A348" s="57"/>
    </row>
    <row r="349" spans="1:1" ht="13.5" customHeight="1">
      <c r="A349" s="57"/>
    </row>
    <row r="350" spans="1:1" ht="13.5" customHeight="1">
      <c r="A350" s="57"/>
    </row>
    <row r="351" spans="1:1" ht="13.5" customHeight="1">
      <c r="A351" s="57"/>
    </row>
    <row r="352" spans="1:1" ht="13.5" customHeight="1">
      <c r="A352" s="57"/>
    </row>
    <row r="353" spans="1:1" ht="13.5" customHeight="1">
      <c r="A353" s="57"/>
    </row>
    <row r="354" spans="1:1" ht="13.5" customHeight="1">
      <c r="A354" s="57"/>
    </row>
    <row r="355" spans="1:1" ht="13.5" customHeight="1">
      <c r="A355" s="57"/>
    </row>
    <row r="356" spans="1:1" ht="13.5" customHeight="1">
      <c r="A356" s="57"/>
    </row>
    <row r="357" spans="1:1" ht="13.5" customHeight="1">
      <c r="A357" s="57"/>
    </row>
    <row r="358" spans="1:1" ht="13.5" customHeight="1">
      <c r="A358" s="57"/>
    </row>
    <row r="359" spans="1:1" ht="13.5" customHeight="1">
      <c r="A359" s="57"/>
    </row>
    <row r="360" spans="1:1" ht="13.5" customHeight="1">
      <c r="A360" s="57"/>
    </row>
    <row r="361" spans="1:1" ht="13.5" customHeight="1">
      <c r="A361" s="57"/>
    </row>
    <row r="362" spans="1:1" ht="13.5" customHeight="1">
      <c r="A362" s="57"/>
    </row>
    <row r="363" spans="1:1" ht="13.5" customHeight="1">
      <c r="A363" s="57"/>
    </row>
    <row r="364" spans="1:1" ht="13.5" customHeight="1">
      <c r="A364" s="57"/>
    </row>
    <row r="365" spans="1:1" ht="13.5" customHeight="1">
      <c r="A365" s="57"/>
    </row>
    <row r="366" spans="1:1" ht="13.5" customHeight="1">
      <c r="A366" s="57"/>
    </row>
    <row r="367" spans="1:1" ht="13.5" customHeight="1">
      <c r="A367" s="57"/>
    </row>
    <row r="368" spans="1:1" ht="13.5" customHeight="1">
      <c r="A368" s="57"/>
    </row>
    <row r="369" spans="1:1" ht="13.5" customHeight="1">
      <c r="A369" s="57"/>
    </row>
    <row r="370" spans="1:1" ht="13.5" customHeight="1">
      <c r="A370" s="57"/>
    </row>
    <row r="371" spans="1:1" ht="13.5" customHeight="1">
      <c r="A371" s="57"/>
    </row>
    <row r="372" spans="1:1" ht="13.5" customHeight="1">
      <c r="A372" s="57"/>
    </row>
    <row r="373" spans="1:1" ht="13.5" customHeight="1">
      <c r="A373" s="57"/>
    </row>
    <row r="374" spans="1:1" ht="13.5" customHeight="1">
      <c r="A374" s="57"/>
    </row>
    <row r="375" spans="1:1" ht="13.5" customHeight="1">
      <c r="A375" s="57"/>
    </row>
    <row r="376" spans="1:1" ht="13.5" customHeight="1">
      <c r="A376" s="57"/>
    </row>
    <row r="377" spans="1:1" ht="13.5" customHeight="1">
      <c r="A377" s="57"/>
    </row>
    <row r="378" spans="1:1" ht="13.5" customHeight="1">
      <c r="A378" s="57"/>
    </row>
    <row r="379" spans="1:1" ht="13.5" customHeight="1">
      <c r="A379" s="57"/>
    </row>
    <row r="380" spans="1:1" ht="13.5" customHeight="1">
      <c r="A380" s="57"/>
    </row>
    <row r="381" spans="1:1" ht="13.5" customHeight="1">
      <c r="A381" s="57"/>
    </row>
    <row r="382" spans="1:1" ht="13.5" customHeight="1">
      <c r="A382" s="57"/>
    </row>
    <row r="383" spans="1:1" ht="13.5" customHeight="1">
      <c r="A383" s="57"/>
    </row>
    <row r="384" spans="1:1" ht="13.5" customHeight="1">
      <c r="A384" s="57"/>
    </row>
    <row r="385" spans="1:1" ht="13.5" customHeight="1">
      <c r="A385" s="57"/>
    </row>
    <row r="386" spans="1:1" ht="13.5" customHeight="1">
      <c r="A386" s="57"/>
    </row>
    <row r="387" spans="1:1" ht="13.5" customHeight="1">
      <c r="A387" s="57"/>
    </row>
    <row r="388" spans="1:1" ht="13.5" customHeight="1">
      <c r="A388" s="57"/>
    </row>
    <row r="389" spans="1:1" ht="13.5" customHeight="1">
      <c r="A389" s="57"/>
    </row>
    <row r="390" spans="1:1" ht="13.5" customHeight="1">
      <c r="A390" s="57"/>
    </row>
    <row r="391" spans="1:1" ht="13.5" customHeight="1">
      <c r="A391" s="57"/>
    </row>
    <row r="392" spans="1:1" ht="13.5" customHeight="1">
      <c r="A392" s="57"/>
    </row>
    <row r="393" spans="1:1" ht="13.5" customHeight="1">
      <c r="A393" s="57"/>
    </row>
    <row r="394" spans="1:1" ht="13.5" customHeight="1">
      <c r="A394" s="57"/>
    </row>
    <row r="395" spans="1:1" ht="13.5" customHeight="1">
      <c r="A395" s="57"/>
    </row>
    <row r="396" spans="1:1" ht="13.5" customHeight="1">
      <c r="A396" s="57"/>
    </row>
    <row r="397" spans="1:1" ht="13.5" customHeight="1">
      <c r="A397" s="57"/>
    </row>
    <row r="398" spans="1:1" ht="13.5" customHeight="1">
      <c r="A398" s="57"/>
    </row>
    <row r="399" spans="1:1" ht="13.5" customHeight="1">
      <c r="A399" s="57"/>
    </row>
    <row r="400" spans="1:1" ht="13.5" customHeight="1">
      <c r="A400" s="57"/>
    </row>
    <row r="401" spans="1:1" ht="13.5" customHeight="1">
      <c r="A401" s="57"/>
    </row>
    <row r="402" spans="1:1" ht="13.5" customHeight="1">
      <c r="A402" s="57"/>
    </row>
    <row r="403" spans="1:1" ht="13.5" customHeight="1">
      <c r="A403" s="57"/>
    </row>
    <row r="404" spans="1:1" ht="13.5" customHeight="1">
      <c r="A404" s="57"/>
    </row>
    <row r="405" spans="1:1" ht="13.5" customHeight="1">
      <c r="A405" s="57"/>
    </row>
    <row r="406" spans="1:1" ht="13.5" customHeight="1">
      <c r="A406" s="57"/>
    </row>
    <row r="407" spans="1:1" ht="13.5" customHeight="1">
      <c r="A407" s="57"/>
    </row>
    <row r="408" spans="1:1" ht="13.5" customHeight="1">
      <c r="A408" s="57"/>
    </row>
    <row r="409" spans="1:1" ht="13.5" customHeight="1">
      <c r="A409" s="57"/>
    </row>
    <row r="410" spans="1:1" ht="13.5" customHeight="1">
      <c r="A410" s="57"/>
    </row>
    <row r="411" spans="1:1" ht="13.5" customHeight="1">
      <c r="A411" s="57"/>
    </row>
    <row r="412" spans="1:1" ht="13.5" customHeight="1">
      <c r="A412" s="57"/>
    </row>
    <row r="413" spans="1:1" ht="13.5" customHeight="1">
      <c r="A413" s="57"/>
    </row>
    <row r="414" spans="1:1" ht="13.5" customHeight="1">
      <c r="A414" s="57"/>
    </row>
    <row r="415" spans="1:1" ht="13.5" customHeight="1">
      <c r="A415" s="57"/>
    </row>
    <row r="416" spans="1:1" ht="13.5" customHeight="1">
      <c r="A416" s="57"/>
    </row>
    <row r="417" spans="1:1" ht="13.5" customHeight="1">
      <c r="A417" s="57"/>
    </row>
    <row r="418" spans="1:1" ht="13.5" customHeight="1">
      <c r="A418" s="57"/>
    </row>
    <row r="419" spans="1:1" ht="13.5" customHeight="1">
      <c r="A419" s="57"/>
    </row>
    <row r="420" spans="1:1" ht="13.5" customHeight="1">
      <c r="A420" s="57"/>
    </row>
    <row r="421" spans="1:1" ht="13.5" customHeight="1">
      <c r="A421" s="57"/>
    </row>
    <row r="422" spans="1:1" ht="13.5" customHeight="1">
      <c r="A422" s="57"/>
    </row>
    <row r="423" spans="1:1" ht="13.5" customHeight="1">
      <c r="A423" s="57"/>
    </row>
    <row r="424" spans="1:1" ht="13.5" customHeight="1">
      <c r="A424" s="57"/>
    </row>
    <row r="425" spans="1:1" ht="13.5" customHeight="1">
      <c r="A425" s="57"/>
    </row>
    <row r="426" spans="1:1" ht="13.5" customHeight="1">
      <c r="A426" s="57"/>
    </row>
    <row r="427" spans="1:1" ht="13.5" customHeight="1">
      <c r="A427" s="57"/>
    </row>
    <row r="428" spans="1:1" ht="13.5" customHeight="1">
      <c r="A428" s="57"/>
    </row>
    <row r="429" spans="1:1" ht="13.5" customHeight="1">
      <c r="A429" s="57"/>
    </row>
    <row r="430" spans="1:1" ht="13.5" customHeight="1">
      <c r="A430" s="57"/>
    </row>
    <row r="431" spans="1:1" ht="13.5" customHeight="1">
      <c r="A431" s="57"/>
    </row>
    <row r="432" spans="1:1" ht="13.5" customHeight="1">
      <c r="A432" s="57"/>
    </row>
    <row r="433" spans="1:1" ht="13.5" customHeight="1">
      <c r="A433" s="57"/>
    </row>
    <row r="434" spans="1:1" ht="13.5" customHeight="1">
      <c r="A434" s="57"/>
    </row>
    <row r="435" spans="1:1" ht="13.5" customHeight="1">
      <c r="A435" s="57"/>
    </row>
    <row r="436" spans="1:1" ht="13.5" customHeight="1">
      <c r="A436" s="57"/>
    </row>
    <row r="437" spans="1:1" ht="13.5" customHeight="1">
      <c r="A437" s="57"/>
    </row>
    <row r="438" spans="1:1" ht="13.5" customHeight="1">
      <c r="A438" s="57"/>
    </row>
    <row r="439" spans="1:1" ht="13.5" customHeight="1">
      <c r="A439" s="57"/>
    </row>
    <row r="440" spans="1:1" ht="13.5" customHeight="1">
      <c r="A440" s="57"/>
    </row>
    <row r="441" spans="1:1" ht="13.5" customHeight="1">
      <c r="A441" s="57"/>
    </row>
    <row r="442" spans="1:1" ht="13.5" customHeight="1">
      <c r="A442" s="57"/>
    </row>
    <row r="443" spans="1:1" ht="13.5" customHeight="1">
      <c r="A443" s="57"/>
    </row>
    <row r="444" spans="1:1" ht="13.5" customHeight="1">
      <c r="A444" s="57"/>
    </row>
    <row r="445" spans="1:1" ht="13.5" customHeight="1">
      <c r="A445" s="57"/>
    </row>
    <row r="446" spans="1:1" ht="13.5" customHeight="1">
      <c r="A446" s="57"/>
    </row>
    <row r="447" spans="1:1" ht="13.5" customHeight="1">
      <c r="A447" s="57"/>
    </row>
    <row r="448" spans="1:1" ht="13.5" customHeight="1">
      <c r="A448" s="57"/>
    </row>
    <row r="449" spans="1:1" ht="13.5" customHeight="1">
      <c r="A449" s="57"/>
    </row>
    <row r="450" spans="1:1" ht="13.5" customHeight="1">
      <c r="A450" s="57"/>
    </row>
    <row r="451" spans="1:1" ht="13.5" customHeight="1">
      <c r="A451" s="57"/>
    </row>
    <row r="452" spans="1:1" ht="13.5" customHeight="1">
      <c r="A452" s="57"/>
    </row>
    <row r="453" spans="1:1" ht="13.5" customHeight="1">
      <c r="A453" s="57"/>
    </row>
    <row r="454" spans="1:1" ht="13.5" customHeight="1">
      <c r="A454" s="57"/>
    </row>
    <row r="455" spans="1:1" ht="13.5" customHeight="1">
      <c r="A455" s="57"/>
    </row>
    <row r="456" spans="1:1" ht="13.5" customHeight="1">
      <c r="A456" s="57"/>
    </row>
    <row r="457" spans="1:1" ht="13.5" customHeight="1">
      <c r="A457" s="57"/>
    </row>
    <row r="458" spans="1:1" ht="13.5" customHeight="1">
      <c r="A458" s="57"/>
    </row>
    <row r="459" spans="1:1" ht="13.5" customHeight="1">
      <c r="A459" s="57"/>
    </row>
    <row r="460" spans="1:1" ht="13.5" customHeight="1">
      <c r="A460" s="57"/>
    </row>
    <row r="461" spans="1:1" ht="13.5" customHeight="1">
      <c r="A461" s="57"/>
    </row>
    <row r="462" spans="1:1" ht="13.5" customHeight="1">
      <c r="A462" s="57"/>
    </row>
    <row r="463" spans="1:1" ht="13.5" customHeight="1">
      <c r="A463" s="57"/>
    </row>
    <row r="464" spans="1:1" ht="13.5" customHeight="1">
      <c r="A464" s="57"/>
    </row>
    <row r="465" spans="1:1" ht="13.5" customHeight="1">
      <c r="A465" s="57"/>
    </row>
    <row r="466" spans="1:1" ht="13.5" customHeight="1">
      <c r="A466" s="57"/>
    </row>
    <row r="467" spans="1:1" ht="13.5" customHeight="1">
      <c r="A467" s="57"/>
    </row>
    <row r="468" spans="1:1" ht="13.5" customHeight="1">
      <c r="A468" s="57"/>
    </row>
    <row r="469" spans="1:1" ht="13.5" customHeight="1">
      <c r="A469" s="57"/>
    </row>
    <row r="470" spans="1:1" ht="13.5" customHeight="1">
      <c r="A470" s="57"/>
    </row>
    <row r="471" spans="1:1" ht="13.5" customHeight="1">
      <c r="A471" s="57"/>
    </row>
    <row r="472" spans="1:1" ht="13.5" customHeight="1">
      <c r="A472" s="57"/>
    </row>
    <row r="473" spans="1:1" ht="13.5" customHeight="1">
      <c r="A473" s="57"/>
    </row>
    <row r="474" spans="1:1" ht="13.5" customHeight="1">
      <c r="A474" s="57"/>
    </row>
    <row r="475" spans="1:1" ht="13.5" customHeight="1">
      <c r="A475" s="57"/>
    </row>
    <row r="476" spans="1:1" ht="13.5" customHeight="1">
      <c r="A476" s="57"/>
    </row>
    <row r="477" spans="1:1" ht="13.5" customHeight="1">
      <c r="A477" s="57"/>
    </row>
    <row r="478" spans="1:1" ht="13.5" customHeight="1">
      <c r="A478" s="57"/>
    </row>
    <row r="479" spans="1:1" ht="13.5" customHeight="1">
      <c r="A479" s="57"/>
    </row>
    <row r="480" spans="1:1" ht="13.5" customHeight="1">
      <c r="A480" s="57"/>
    </row>
    <row r="481" spans="1:1" ht="13.5" customHeight="1">
      <c r="A481" s="57"/>
    </row>
    <row r="482" spans="1:1" ht="13.5" customHeight="1">
      <c r="A482" s="57"/>
    </row>
    <row r="483" spans="1:1" ht="13.5" customHeight="1">
      <c r="A483" s="57"/>
    </row>
    <row r="484" spans="1:1" ht="13.5" customHeight="1">
      <c r="A484" s="57"/>
    </row>
    <row r="485" spans="1:1" ht="13.5" customHeight="1">
      <c r="A485" s="57"/>
    </row>
    <row r="486" spans="1:1" ht="13.5" customHeight="1">
      <c r="A486" s="57"/>
    </row>
    <row r="487" spans="1:1" ht="13.5" customHeight="1">
      <c r="A487" s="57"/>
    </row>
    <row r="488" spans="1:1" ht="13.5" customHeight="1">
      <c r="A488" s="57"/>
    </row>
    <row r="489" spans="1:1" ht="13.5" customHeight="1">
      <c r="A489" s="57"/>
    </row>
    <row r="490" spans="1:1" ht="13.5" customHeight="1">
      <c r="A490" s="57"/>
    </row>
    <row r="491" spans="1:1" ht="13.5" customHeight="1">
      <c r="A491" s="57"/>
    </row>
    <row r="492" spans="1:1" ht="13.5" customHeight="1">
      <c r="A492" s="57"/>
    </row>
    <row r="493" spans="1:1" ht="13.5" customHeight="1">
      <c r="A493" s="57"/>
    </row>
    <row r="494" spans="1:1" ht="13.5" customHeight="1">
      <c r="A494" s="57"/>
    </row>
    <row r="495" spans="1:1" ht="13.5" customHeight="1">
      <c r="A495" s="57"/>
    </row>
    <row r="496" spans="1:1" ht="13.5" customHeight="1">
      <c r="A496" s="57"/>
    </row>
    <row r="497" spans="1:1" ht="13.5" customHeight="1">
      <c r="A497" s="57"/>
    </row>
    <row r="498" spans="1:1" ht="13.5" customHeight="1">
      <c r="A498" s="57"/>
    </row>
    <row r="499" spans="1:1" ht="13.5" customHeight="1">
      <c r="A499" s="57"/>
    </row>
    <row r="500" spans="1:1" ht="13.5" customHeight="1">
      <c r="A500" s="57"/>
    </row>
    <row r="501" spans="1:1" ht="13.5" customHeight="1">
      <c r="A501" s="57"/>
    </row>
    <row r="502" spans="1:1" ht="13.5" customHeight="1">
      <c r="A502" s="57"/>
    </row>
    <row r="503" spans="1:1" ht="13.5" customHeight="1">
      <c r="A503" s="57"/>
    </row>
    <row r="504" spans="1:1" ht="13.5" customHeight="1">
      <c r="A504" s="57"/>
    </row>
    <row r="505" spans="1:1" ht="13.5" customHeight="1">
      <c r="A505" s="57"/>
    </row>
    <row r="506" spans="1:1" ht="13.5" customHeight="1">
      <c r="A506" s="57"/>
    </row>
    <row r="507" spans="1:1" ht="13.5" customHeight="1">
      <c r="A507" s="57"/>
    </row>
    <row r="508" spans="1:1" ht="13.5" customHeight="1">
      <c r="A508" s="57"/>
    </row>
    <row r="509" spans="1:1" ht="13.5" customHeight="1">
      <c r="A509" s="57"/>
    </row>
    <row r="510" spans="1:1" ht="13.5" customHeight="1">
      <c r="A510" s="57"/>
    </row>
    <row r="511" spans="1:1" ht="13.5" customHeight="1">
      <c r="A511" s="57"/>
    </row>
    <row r="512" spans="1:1" ht="13.5" customHeight="1">
      <c r="A512" s="57"/>
    </row>
    <row r="513" spans="1:1" ht="13.5" customHeight="1">
      <c r="A513" s="57"/>
    </row>
    <row r="514" spans="1:1" ht="13.5" customHeight="1">
      <c r="A514" s="57"/>
    </row>
    <row r="515" spans="1:1" ht="13.5" customHeight="1">
      <c r="A515" s="57"/>
    </row>
    <row r="516" spans="1:1" ht="13.5" customHeight="1">
      <c r="A516" s="57"/>
    </row>
    <row r="517" spans="1:1" ht="13.5" customHeight="1">
      <c r="A517" s="57"/>
    </row>
    <row r="518" spans="1:1" ht="13.5" customHeight="1">
      <c r="A518" s="57"/>
    </row>
    <row r="519" spans="1:1" ht="13.5" customHeight="1">
      <c r="A519" s="57"/>
    </row>
    <row r="520" spans="1:1" ht="13.5" customHeight="1">
      <c r="A520" s="57"/>
    </row>
    <row r="521" spans="1:1" ht="13.5" customHeight="1">
      <c r="A521" s="57"/>
    </row>
    <row r="522" spans="1:1" ht="13.5" customHeight="1">
      <c r="A522" s="57"/>
    </row>
    <row r="523" spans="1:1" ht="13.5" customHeight="1">
      <c r="A523" s="57"/>
    </row>
    <row r="524" spans="1:1" ht="13.5" customHeight="1">
      <c r="A524" s="57"/>
    </row>
    <row r="525" spans="1:1" ht="13.5" customHeight="1">
      <c r="A525" s="57"/>
    </row>
    <row r="526" spans="1:1" ht="13.5" customHeight="1">
      <c r="A526" s="57"/>
    </row>
    <row r="527" spans="1:1" ht="13.5" customHeight="1">
      <c r="A527" s="57"/>
    </row>
    <row r="528" spans="1:1" ht="13.5" customHeight="1">
      <c r="A528" s="57"/>
    </row>
    <row r="529" spans="1:1" ht="13.5" customHeight="1">
      <c r="A529" s="57"/>
    </row>
    <row r="530" spans="1:1" ht="13.5" customHeight="1">
      <c r="A530" s="57"/>
    </row>
    <row r="531" spans="1:1" ht="13.5" customHeight="1">
      <c r="A531" s="57"/>
    </row>
    <row r="532" spans="1:1" ht="13.5" customHeight="1">
      <c r="A532" s="57"/>
    </row>
    <row r="533" spans="1:1" ht="13.5" customHeight="1">
      <c r="A533" s="57"/>
    </row>
    <row r="534" spans="1:1" ht="13.5" customHeight="1">
      <c r="A534" s="57"/>
    </row>
    <row r="535" spans="1:1" ht="13.5" customHeight="1">
      <c r="A535" s="57"/>
    </row>
    <row r="536" spans="1:1" ht="13.5" customHeight="1">
      <c r="A536" s="57"/>
    </row>
    <row r="537" spans="1:1" ht="13.5" customHeight="1">
      <c r="A537" s="57"/>
    </row>
    <row r="538" spans="1:1" ht="13.5" customHeight="1">
      <c r="A538" s="57"/>
    </row>
    <row r="539" spans="1:1" ht="13.5" customHeight="1">
      <c r="A539" s="57"/>
    </row>
    <row r="540" spans="1:1" ht="13.5" customHeight="1">
      <c r="A540" s="57"/>
    </row>
    <row r="541" spans="1:1" ht="13.5" customHeight="1">
      <c r="A541" s="57"/>
    </row>
    <row r="542" spans="1:1" ht="13.5" customHeight="1">
      <c r="A542" s="57"/>
    </row>
    <row r="543" spans="1:1" ht="13.5" customHeight="1">
      <c r="A543" s="57"/>
    </row>
    <row r="544" spans="1:1" ht="13.5" customHeight="1">
      <c r="A544" s="57"/>
    </row>
    <row r="545" spans="1:1" ht="13.5" customHeight="1">
      <c r="A545" s="57"/>
    </row>
    <row r="546" spans="1:1" ht="13.5" customHeight="1">
      <c r="A546" s="57"/>
    </row>
    <row r="547" spans="1:1" ht="13.5" customHeight="1">
      <c r="A547" s="57"/>
    </row>
    <row r="548" spans="1:1" ht="13.5" customHeight="1">
      <c r="A548" s="57"/>
    </row>
    <row r="549" spans="1:1" ht="13.5" customHeight="1">
      <c r="A549" s="57"/>
    </row>
    <row r="550" spans="1:1" ht="13.5" customHeight="1">
      <c r="A550" s="57"/>
    </row>
    <row r="551" spans="1:1" ht="13.5" customHeight="1">
      <c r="A551" s="57"/>
    </row>
    <row r="552" spans="1:1" ht="13.5" customHeight="1">
      <c r="A552" s="57"/>
    </row>
    <row r="553" spans="1:1" ht="13.5" customHeight="1">
      <c r="A553" s="57"/>
    </row>
    <row r="554" spans="1:1" ht="13.5" customHeight="1">
      <c r="A554" s="57"/>
    </row>
    <row r="555" spans="1:1" ht="13.5" customHeight="1">
      <c r="A555" s="57"/>
    </row>
    <row r="556" spans="1:1" ht="13.5" customHeight="1">
      <c r="A556" s="57"/>
    </row>
    <row r="557" spans="1:1" ht="13.5" customHeight="1">
      <c r="A557" s="57"/>
    </row>
    <row r="558" spans="1:1" ht="13.5" customHeight="1">
      <c r="A558" s="57"/>
    </row>
    <row r="559" spans="1:1" ht="13.5" customHeight="1">
      <c r="A559" s="57"/>
    </row>
    <row r="560" spans="1:1" ht="13.5" customHeight="1">
      <c r="A560" s="57"/>
    </row>
    <row r="561" spans="1:1" ht="13.5" customHeight="1">
      <c r="A561" s="57"/>
    </row>
    <row r="562" spans="1:1" ht="13.5" customHeight="1">
      <c r="A562" s="57"/>
    </row>
    <row r="563" spans="1:1" ht="13.5" customHeight="1">
      <c r="A563" s="57"/>
    </row>
    <row r="564" spans="1:1" ht="13.5" customHeight="1">
      <c r="A564" s="57"/>
    </row>
    <row r="565" spans="1:1" ht="13.5" customHeight="1">
      <c r="A565" s="57"/>
    </row>
    <row r="566" spans="1:1" ht="13.5" customHeight="1">
      <c r="A566" s="57"/>
    </row>
    <row r="567" spans="1:1" ht="13.5" customHeight="1">
      <c r="A567" s="57"/>
    </row>
    <row r="568" spans="1:1" ht="13.5" customHeight="1">
      <c r="A568" s="57"/>
    </row>
    <row r="569" spans="1:1" ht="13.5" customHeight="1">
      <c r="A569" s="57"/>
    </row>
    <row r="570" spans="1:1" ht="13.5" customHeight="1">
      <c r="A570" s="57"/>
    </row>
    <row r="571" spans="1:1" ht="13.5" customHeight="1">
      <c r="A571" s="57"/>
    </row>
    <row r="572" spans="1:1" ht="13.5" customHeight="1">
      <c r="A572" s="57"/>
    </row>
    <row r="573" spans="1:1" ht="13.5" customHeight="1">
      <c r="A573" s="57"/>
    </row>
    <row r="574" spans="1:1" ht="13.5" customHeight="1">
      <c r="A574" s="57"/>
    </row>
    <row r="575" spans="1:1" ht="13.5" customHeight="1">
      <c r="A575" s="57"/>
    </row>
    <row r="576" spans="1:1" ht="13.5" customHeight="1">
      <c r="A576" s="57"/>
    </row>
    <row r="577" spans="1:1" ht="13.5" customHeight="1">
      <c r="A577" s="57"/>
    </row>
    <row r="578" spans="1:1" ht="13.5" customHeight="1">
      <c r="A578" s="57"/>
    </row>
    <row r="579" spans="1:1" ht="13.5" customHeight="1">
      <c r="A579" s="57"/>
    </row>
    <row r="580" spans="1:1" ht="13.5" customHeight="1">
      <c r="A580" s="57"/>
    </row>
    <row r="581" spans="1:1" ht="13.5" customHeight="1">
      <c r="A581" s="57"/>
    </row>
    <row r="582" spans="1:1" ht="13.5" customHeight="1">
      <c r="A582" s="57"/>
    </row>
    <row r="583" spans="1:1" ht="13.5" customHeight="1">
      <c r="A583" s="57"/>
    </row>
    <row r="584" spans="1:1" ht="13.5" customHeight="1">
      <c r="A584" s="57"/>
    </row>
    <row r="585" spans="1:1" ht="13.5" customHeight="1">
      <c r="A585" s="57"/>
    </row>
    <row r="586" spans="1:1" ht="13.5" customHeight="1">
      <c r="A586" s="57"/>
    </row>
    <row r="587" spans="1:1" ht="13.5" customHeight="1">
      <c r="A587" s="57"/>
    </row>
    <row r="588" spans="1:1" ht="13.5" customHeight="1">
      <c r="A588" s="57"/>
    </row>
    <row r="589" spans="1:1" ht="13.5" customHeight="1">
      <c r="A589" s="57"/>
    </row>
    <row r="590" spans="1:1" ht="13.5" customHeight="1">
      <c r="A590" s="57"/>
    </row>
    <row r="591" spans="1:1" ht="13.5" customHeight="1">
      <c r="A591" s="57"/>
    </row>
    <row r="592" spans="1:1" ht="13.5" customHeight="1">
      <c r="A592" s="57"/>
    </row>
    <row r="593" spans="1:1" ht="13.5" customHeight="1">
      <c r="A593" s="57"/>
    </row>
    <row r="594" spans="1:1" ht="13.5" customHeight="1">
      <c r="A594" s="57"/>
    </row>
    <row r="595" spans="1:1" ht="13.5" customHeight="1">
      <c r="A595" s="57"/>
    </row>
    <row r="596" spans="1:1" ht="13.5" customHeight="1">
      <c r="A596" s="57"/>
    </row>
    <row r="597" spans="1:1" ht="13.5" customHeight="1">
      <c r="A597" s="57"/>
    </row>
    <row r="598" spans="1:1" ht="13.5" customHeight="1">
      <c r="A598" s="57"/>
    </row>
    <row r="599" spans="1:1" ht="13.5" customHeight="1">
      <c r="A599" s="57"/>
    </row>
    <row r="600" spans="1:1" ht="13.5" customHeight="1">
      <c r="A600" s="57"/>
    </row>
    <row r="601" spans="1:1" ht="13.5" customHeight="1">
      <c r="A601" s="57"/>
    </row>
    <row r="602" spans="1:1" ht="13.5" customHeight="1">
      <c r="A602" s="57"/>
    </row>
    <row r="603" spans="1:1" ht="13.5" customHeight="1">
      <c r="A603" s="57"/>
    </row>
    <row r="604" spans="1:1" ht="13.5" customHeight="1">
      <c r="A604" s="57"/>
    </row>
    <row r="605" spans="1:1" ht="13.5" customHeight="1">
      <c r="A605" s="57"/>
    </row>
    <row r="606" spans="1:1" ht="13.5" customHeight="1">
      <c r="A606" s="57"/>
    </row>
    <row r="607" spans="1:1" ht="13.5" customHeight="1">
      <c r="A607" s="57"/>
    </row>
    <row r="608" spans="1:1" ht="13.5" customHeight="1">
      <c r="A608" s="57"/>
    </row>
    <row r="609" spans="1:1" ht="13.5" customHeight="1">
      <c r="A609" s="57"/>
    </row>
    <row r="610" spans="1:1" ht="13.5" customHeight="1">
      <c r="A610" s="57"/>
    </row>
    <row r="611" spans="1:1" ht="13.5" customHeight="1">
      <c r="A611" s="57"/>
    </row>
    <row r="612" spans="1:1" ht="13.5" customHeight="1">
      <c r="A612" s="57"/>
    </row>
    <row r="613" spans="1:1" ht="13.5" customHeight="1">
      <c r="A613" s="57"/>
    </row>
    <row r="614" spans="1:1" ht="13.5" customHeight="1">
      <c r="A614" s="57"/>
    </row>
    <row r="615" spans="1:1" ht="13.5" customHeight="1">
      <c r="A615" s="57"/>
    </row>
    <row r="616" spans="1:1" ht="13.5" customHeight="1">
      <c r="A616" s="57"/>
    </row>
    <row r="617" spans="1:1" ht="13.5" customHeight="1">
      <c r="A617" s="57"/>
    </row>
    <row r="618" spans="1:1" ht="13.5" customHeight="1">
      <c r="A618" s="57"/>
    </row>
    <row r="619" spans="1:1" ht="13.5" customHeight="1">
      <c r="A619" s="57"/>
    </row>
    <row r="620" spans="1:1" ht="13.5" customHeight="1">
      <c r="A620" s="57"/>
    </row>
    <row r="621" spans="1:1" ht="13.5" customHeight="1">
      <c r="A621" s="57"/>
    </row>
    <row r="622" spans="1:1" ht="13.5" customHeight="1">
      <c r="A622" s="57"/>
    </row>
    <row r="623" spans="1:1" ht="13.5" customHeight="1">
      <c r="A623" s="57"/>
    </row>
    <row r="624" spans="1:1" ht="13.5" customHeight="1">
      <c r="A624" s="57"/>
    </row>
    <row r="625" spans="1:1" ht="13.5" customHeight="1">
      <c r="A625" s="57"/>
    </row>
    <row r="626" spans="1:1" ht="13.5" customHeight="1">
      <c r="A626" s="57"/>
    </row>
    <row r="627" spans="1:1" ht="13.5" customHeight="1">
      <c r="A627" s="57"/>
    </row>
    <row r="628" spans="1:1" ht="13.5" customHeight="1">
      <c r="A628" s="57"/>
    </row>
    <row r="629" spans="1:1" ht="13.5" customHeight="1">
      <c r="A629" s="57"/>
    </row>
    <row r="630" spans="1:1" ht="13.5" customHeight="1">
      <c r="A630" s="57"/>
    </row>
    <row r="631" spans="1:1" ht="13.5" customHeight="1">
      <c r="A631" s="57"/>
    </row>
    <row r="632" spans="1:1" ht="13.5" customHeight="1">
      <c r="A632" s="57"/>
    </row>
    <row r="633" spans="1:1" ht="13.5" customHeight="1">
      <c r="A633" s="57"/>
    </row>
    <row r="634" spans="1:1" ht="13.5" customHeight="1">
      <c r="A634" s="57"/>
    </row>
    <row r="635" spans="1:1" ht="13.5" customHeight="1">
      <c r="A635" s="57"/>
    </row>
    <row r="636" spans="1:1" ht="13.5" customHeight="1">
      <c r="A636" s="57"/>
    </row>
    <row r="637" spans="1:1" ht="13.5" customHeight="1">
      <c r="A637" s="57"/>
    </row>
    <row r="638" spans="1:1" ht="13.5" customHeight="1">
      <c r="A638" s="57"/>
    </row>
    <row r="639" spans="1:1" ht="13.5" customHeight="1">
      <c r="A639" s="57"/>
    </row>
    <row r="640" spans="1:1" ht="13.5" customHeight="1">
      <c r="A640" s="57"/>
    </row>
    <row r="641" spans="1:1" ht="13.5" customHeight="1">
      <c r="A641" s="57"/>
    </row>
    <row r="642" spans="1:1" ht="13.5" customHeight="1">
      <c r="A642" s="57"/>
    </row>
    <row r="643" spans="1:1" ht="13.5" customHeight="1">
      <c r="A643" s="57"/>
    </row>
    <row r="644" spans="1:1" ht="13.5" customHeight="1">
      <c r="A644" s="57"/>
    </row>
    <row r="645" spans="1:1" ht="13.5" customHeight="1">
      <c r="A645" s="57"/>
    </row>
    <row r="646" spans="1:1" ht="13.5" customHeight="1">
      <c r="A646" s="57"/>
    </row>
    <row r="647" spans="1:1" ht="13.5" customHeight="1">
      <c r="A647" s="57"/>
    </row>
    <row r="648" spans="1:1" ht="13.5" customHeight="1">
      <c r="A648" s="57"/>
    </row>
    <row r="649" spans="1:1" ht="13.5" customHeight="1">
      <c r="A649" s="57"/>
    </row>
    <row r="650" spans="1:1" ht="13.5" customHeight="1">
      <c r="A650" s="57"/>
    </row>
    <row r="651" spans="1:1" ht="13.5" customHeight="1">
      <c r="A651" s="57"/>
    </row>
    <row r="652" spans="1:1" ht="13.5" customHeight="1">
      <c r="A652" s="57"/>
    </row>
    <row r="653" spans="1:1" ht="13.5" customHeight="1">
      <c r="A653" s="57"/>
    </row>
    <row r="654" spans="1:1" ht="13.5" customHeight="1">
      <c r="A654" s="57"/>
    </row>
    <row r="655" spans="1:1" ht="13.5" customHeight="1">
      <c r="A655" s="57"/>
    </row>
    <row r="656" spans="1:1" ht="13.5" customHeight="1">
      <c r="A656" s="57"/>
    </row>
    <row r="657" spans="1:1" ht="13.5" customHeight="1">
      <c r="A657" s="57"/>
    </row>
    <row r="658" spans="1:1" ht="13.5" customHeight="1">
      <c r="A658" s="57"/>
    </row>
    <row r="659" spans="1:1" ht="13.5" customHeight="1">
      <c r="A659" s="57"/>
    </row>
    <row r="660" spans="1:1" ht="13.5" customHeight="1">
      <c r="A660" s="57"/>
    </row>
    <row r="661" spans="1:1" ht="13.5" customHeight="1">
      <c r="A661" s="57"/>
    </row>
    <row r="662" spans="1:1" ht="13.5" customHeight="1">
      <c r="A662" s="57"/>
    </row>
    <row r="663" spans="1:1" ht="13.5" customHeight="1">
      <c r="A663" s="57"/>
    </row>
    <row r="664" spans="1:1" ht="13.5" customHeight="1">
      <c r="A664" s="57"/>
    </row>
    <row r="665" spans="1:1" ht="13.5" customHeight="1">
      <c r="A665" s="57"/>
    </row>
    <row r="666" spans="1:1" ht="13.5" customHeight="1">
      <c r="A666" s="57"/>
    </row>
    <row r="667" spans="1:1" ht="13.5" customHeight="1">
      <c r="A667" s="57"/>
    </row>
    <row r="668" spans="1:1" ht="13.5" customHeight="1">
      <c r="A668" s="57"/>
    </row>
    <row r="669" spans="1:1" ht="13.5" customHeight="1">
      <c r="A669" s="57"/>
    </row>
    <row r="670" spans="1:1" ht="13.5" customHeight="1">
      <c r="A670" s="57"/>
    </row>
    <row r="671" spans="1:1" ht="13.5" customHeight="1">
      <c r="A671" s="57"/>
    </row>
    <row r="672" spans="1:1" ht="13.5" customHeight="1">
      <c r="A672" s="57"/>
    </row>
    <row r="673" spans="1:1" ht="13.5" customHeight="1">
      <c r="A673" s="57"/>
    </row>
    <row r="674" spans="1:1" ht="13.5" customHeight="1">
      <c r="A674" s="57"/>
    </row>
    <row r="675" spans="1:1" ht="13.5" customHeight="1">
      <c r="A675" s="57"/>
    </row>
    <row r="676" spans="1:1" ht="13.5" customHeight="1">
      <c r="A676" s="57"/>
    </row>
    <row r="677" spans="1:1" ht="13.5" customHeight="1">
      <c r="A677" s="57"/>
    </row>
    <row r="678" spans="1:1" ht="13.5" customHeight="1">
      <c r="A678" s="57"/>
    </row>
    <row r="679" spans="1:1" ht="13.5" customHeight="1">
      <c r="A679" s="57"/>
    </row>
    <row r="680" spans="1:1" ht="13.5" customHeight="1">
      <c r="A680" s="57"/>
    </row>
    <row r="681" spans="1:1" ht="13.5" customHeight="1">
      <c r="A681" s="57"/>
    </row>
    <row r="682" spans="1:1" ht="13.5" customHeight="1">
      <c r="A682" s="57"/>
    </row>
    <row r="683" spans="1:1" ht="13.5" customHeight="1">
      <c r="A683" s="57"/>
    </row>
    <row r="684" spans="1:1" ht="13.5" customHeight="1">
      <c r="A684" s="57"/>
    </row>
    <row r="685" spans="1:1" ht="13.5" customHeight="1">
      <c r="A685" s="57"/>
    </row>
    <row r="686" spans="1:1" ht="13.5" customHeight="1">
      <c r="A686" s="57"/>
    </row>
    <row r="687" spans="1:1" ht="13.5" customHeight="1">
      <c r="A687" s="57"/>
    </row>
    <row r="688" spans="1:1" ht="13.5" customHeight="1">
      <c r="A688" s="57"/>
    </row>
    <row r="689" spans="1:1" ht="13.5" customHeight="1">
      <c r="A689" s="57"/>
    </row>
    <row r="690" spans="1:1" ht="13.5" customHeight="1">
      <c r="A690" s="57"/>
    </row>
    <row r="691" spans="1:1" ht="13.5" customHeight="1">
      <c r="A691" s="57"/>
    </row>
    <row r="692" spans="1:1" ht="13.5" customHeight="1">
      <c r="A692" s="57"/>
    </row>
    <row r="693" spans="1:1" ht="13.5" customHeight="1">
      <c r="A693" s="57"/>
    </row>
    <row r="694" spans="1:1" ht="13.5" customHeight="1">
      <c r="A694" s="57"/>
    </row>
    <row r="695" spans="1:1" ht="13.5" customHeight="1">
      <c r="A695" s="57"/>
    </row>
    <row r="696" spans="1:1" ht="13.5" customHeight="1">
      <c r="A696" s="57"/>
    </row>
    <row r="697" spans="1:1" ht="13.5" customHeight="1">
      <c r="A697" s="57"/>
    </row>
    <row r="698" spans="1:1" ht="13.5" customHeight="1">
      <c r="A698" s="57"/>
    </row>
    <row r="699" spans="1:1" ht="13.5" customHeight="1">
      <c r="A699" s="57"/>
    </row>
    <row r="700" spans="1:1" ht="13.5" customHeight="1">
      <c r="A700" s="57"/>
    </row>
    <row r="701" spans="1:1" ht="13.5" customHeight="1">
      <c r="A701" s="57"/>
    </row>
    <row r="702" spans="1:1" ht="13.5" customHeight="1">
      <c r="A702" s="57"/>
    </row>
    <row r="703" spans="1:1" ht="13.5" customHeight="1">
      <c r="A703" s="57"/>
    </row>
    <row r="704" spans="1:1" ht="13.5" customHeight="1">
      <c r="A704" s="57"/>
    </row>
    <row r="705" spans="1:1" ht="13.5" customHeight="1">
      <c r="A705" s="57"/>
    </row>
    <row r="706" spans="1:1" ht="13.5" customHeight="1">
      <c r="A706" s="57"/>
    </row>
    <row r="707" spans="1:1" ht="13.5" customHeight="1">
      <c r="A707" s="57"/>
    </row>
    <row r="708" spans="1:1" ht="13.5" customHeight="1">
      <c r="A708" s="57"/>
    </row>
    <row r="709" spans="1:1" ht="13.5" customHeight="1">
      <c r="A709" s="57"/>
    </row>
    <row r="710" spans="1:1" ht="13.5" customHeight="1">
      <c r="A710" s="57"/>
    </row>
    <row r="711" spans="1:1" ht="13.5" customHeight="1">
      <c r="A711" s="57"/>
    </row>
    <row r="712" spans="1:1" ht="13.5" customHeight="1">
      <c r="A712" s="57"/>
    </row>
    <row r="713" spans="1:1" ht="13.5" customHeight="1">
      <c r="A713" s="57"/>
    </row>
    <row r="714" spans="1:1" ht="13.5" customHeight="1">
      <c r="A714" s="57"/>
    </row>
    <row r="715" spans="1:1" ht="13.5" customHeight="1">
      <c r="A715" s="57"/>
    </row>
    <row r="716" spans="1:1" ht="13.5" customHeight="1">
      <c r="A716" s="57"/>
    </row>
    <row r="717" spans="1:1" ht="13.5" customHeight="1">
      <c r="A717" s="57"/>
    </row>
    <row r="718" spans="1:1" ht="13.5" customHeight="1">
      <c r="A718" s="57"/>
    </row>
    <row r="719" spans="1:1" ht="13.5" customHeight="1">
      <c r="A719" s="57"/>
    </row>
    <row r="720" spans="1:1" ht="13.5" customHeight="1">
      <c r="A720" s="57"/>
    </row>
    <row r="721" spans="1:1" ht="13.5" customHeight="1">
      <c r="A721" s="57"/>
    </row>
    <row r="722" spans="1:1" ht="13.5" customHeight="1">
      <c r="A722" s="57"/>
    </row>
    <row r="723" spans="1:1" ht="13.5" customHeight="1">
      <c r="A723" s="57"/>
    </row>
    <row r="724" spans="1:1" ht="13.5" customHeight="1">
      <c r="A724" s="57"/>
    </row>
    <row r="725" spans="1:1" ht="13.5" customHeight="1">
      <c r="A725" s="57"/>
    </row>
    <row r="726" spans="1:1" ht="13.5" customHeight="1">
      <c r="A726" s="57"/>
    </row>
    <row r="727" spans="1:1" ht="13.5" customHeight="1">
      <c r="A727" s="57"/>
    </row>
    <row r="728" spans="1:1" ht="13.5" customHeight="1">
      <c r="A728" s="57"/>
    </row>
    <row r="729" spans="1:1" ht="13.5" customHeight="1">
      <c r="A729" s="57"/>
    </row>
    <row r="730" spans="1:1" ht="13.5" customHeight="1">
      <c r="A730" s="57"/>
    </row>
    <row r="731" spans="1:1" ht="13.5" customHeight="1">
      <c r="A731" s="57"/>
    </row>
    <row r="732" spans="1:1" ht="13.5" customHeight="1">
      <c r="A732" s="57"/>
    </row>
    <row r="733" spans="1:1" ht="13.5" customHeight="1">
      <c r="A733" s="57"/>
    </row>
    <row r="734" spans="1:1" ht="13.5" customHeight="1">
      <c r="A734" s="57"/>
    </row>
    <row r="735" spans="1:1" ht="13.5" customHeight="1">
      <c r="A735" s="57"/>
    </row>
    <row r="736" spans="1:1" ht="13.5" customHeight="1">
      <c r="A736" s="57"/>
    </row>
    <row r="737" spans="1:1" ht="13.5" customHeight="1">
      <c r="A737" s="57"/>
    </row>
    <row r="738" spans="1:1" ht="13.5" customHeight="1">
      <c r="A738" s="57"/>
    </row>
    <row r="739" spans="1:1" ht="13.5" customHeight="1">
      <c r="A739" s="57"/>
    </row>
    <row r="740" spans="1:1" ht="13.5" customHeight="1">
      <c r="A740" s="57"/>
    </row>
    <row r="741" spans="1:1" ht="13.5" customHeight="1">
      <c r="A741" s="57"/>
    </row>
    <row r="742" spans="1:1" ht="13.5" customHeight="1">
      <c r="A742" s="57"/>
    </row>
    <row r="743" spans="1:1" ht="13.5" customHeight="1">
      <c r="A743" s="57"/>
    </row>
    <row r="744" spans="1:1" ht="13.5" customHeight="1">
      <c r="A744" s="57"/>
    </row>
    <row r="745" spans="1:1" ht="13.5" customHeight="1">
      <c r="A745" s="57"/>
    </row>
    <row r="746" spans="1:1" ht="13.5" customHeight="1">
      <c r="A746" s="57"/>
    </row>
    <row r="747" spans="1:1" ht="13.5" customHeight="1">
      <c r="A747" s="57"/>
    </row>
    <row r="748" spans="1:1" ht="13.5" customHeight="1">
      <c r="A748" s="57"/>
    </row>
    <row r="749" spans="1:1" ht="13.5" customHeight="1">
      <c r="A749" s="57"/>
    </row>
    <row r="750" spans="1:1" ht="13.5" customHeight="1">
      <c r="A750" s="57"/>
    </row>
    <row r="751" spans="1:1" ht="13.5" customHeight="1">
      <c r="A751" s="57"/>
    </row>
    <row r="752" spans="1:1" ht="13.5" customHeight="1">
      <c r="A752" s="57"/>
    </row>
    <row r="753" spans="1:1" ht="13.5" customHeight="1">
      <c r="A753" s="57"/>
    </row>
    <row r="754" spans="1:1" ht="13.5" customHeight="1">
      <c r="A754" s="57"/>
    </row>
    <row r="755" spans="1:1" ht="13.5" customHeight="1">
      <c r="A755" s="57"/>
    </row>
    <row r="756" spans="1:1" ht="13.5" customHeight="1">
      <c r="A756" s="57"/>
    </row>
    <row r="757" spans="1:1" ht="13.5" customHeight="1">
      <c r="A757" s="57"/>
    </row>
    <row r="758" spans="1:1" ht="13.5" customHeight="1">
      <c r="A758" s="57"/>
    </row>
    <row r="759" spans="1:1" ht="13.5" customHeight="1">
      <c r="A759" s="57"/>
    </row>
    <row r="760" spans="1:1" ht="13.5" customHeight="1">
      <c r="A760" s="57"/>
    </row>
    <row r="761" spans="1:1" ht="13.5" customHeight="1">
      <c r="A761" s="57"/>
    </row>
    <row r="762" spans="1:1" ht="13.5" customHeight="1">
      <c r="A762" s="57"/>
    </row>
    <row r="763" spans="1:1" ht="13.5" customHeight="1">
      <c r="A763" s="57"/>
    </row>
    <row r="764" spans="1:1" ht="13.5" customHeight="1">
      <c r="A764" s="57"/>
    </row>
    <row r="765" spans="1:1" ht="13.5" customHeight="1">
      <c r="A765" s="57"/>
    </row>
    <row r="766" spans="1:1" ht="13.5" customHeight="1">
      <c r="A766" s="57"/>
    </row>
    <row r="767" spans="1:1" ht="13.5" customHeight="1">
      <c r="A767" s="57"/>
    </row>
    <row r="768" spans="1:1" ht="13.5" customHeight="1">
      <c r="A768" s="57"/>
    </row>
    <row r="769" spans="1:1" ht="13.5" customHeight="1">
      <c r="A769" s="57"/>
    </row>
    <row r="770" spans="1:1" ht="13.5" customHeight="1">
      <c r="A770" s="57"/>
    </row>
    <row r="771" spans="1:1" ht="13.5" customHeight="1">
      <c r="A771" s="57"/>
    </row>
    <row r="772" spans="1:1" ht="13.5" customHeight="1">
      <c r="A772" s="57"/>
    </row>
    <row r="773" spans="1:1" ht="13.5" customHeight="1">
      <c r="A773" s="57"/>
    </row>
    <row r="774" spans="1:1" ht="13.5" customHeight="1">
      <c r="A774" s="57"/>
    </row>
    <row r="775" spans="1:1" ht="13.5" customHeight="1">
      <c r="A775" s="57"/>
    </row>
    <row r="776" spans="1:1" ht="13.5" customHeight="1">
      <c r="A776" s="57"/>
    </row>
    <row r="777" spans="1:1" ht="13.5" customHeight="1">
      <c r="A777" s="57"/>
    </row>
    <row r="778" spans="1:1" ht="13.5" customHeight="1">
      <c r="A778" s="57"/>
    </row>
    <row r="779" spans="1:1" ht="13.5" customHeight="1">
      <c r="A779" s="57"/>
    </row>
    <row r="780" spans="1:1" ht="13.5" customHeight="1">
      <c r="A780" s="57"/>
    </row>
    <row r="781" spans="1:1" ht="13.5" customHeight="1">
      <c r="A781" s="57"/>
    </row>
    <row r="782" spans="1:1" ht="13.5" customHeight="1">
      <c r="A782" s="57"/>
    </row>
    <row r="783" spans="1:1" ht="13.5" customHeight="1">
      <c r="A783" s="57"/>
    </row>
    <row r="784" spans="1:1" ht="13.5" customHeight="1">
      <c r="A784" s="57"/>
    </row>
    <row r="785" spans="1:1" ht="13.5" customHeight="1">
      <c r="A785" s="57"/>
    </row>
    <row r="786" spans="1:1" ht="13.5" customHeight="1">
      <c r="A786" s="57"/>
    </row>
    <row r="787" spans="1:1" ht="13.5" customHeight="1">
      <c r="A787" s="57"/>
    </row>
    <row r="788" spans="1:1" ht="13.5" customHeight="1">
      <c r="A788" s="57"/>
    </row>
    <row r="789" spans="1:1" ht="13.5" customHeight="1">
      <c r="A789" s="57"/>
    </row>
    <row r="790" spans="1:1" ht="13.5" customHeight="1">
      <c r="A790" s="57"/>
    </row>
    <row r="791" spans="1:1" ht="13.5" customHeight="1">
      <c r="A791" s="57"/>
    </row>
    <row r="792" spans="1:1" ht="13.5" customHeight="1">
      <c r="A792" s="57"/>
    </row>
    <row r="793" spans="1:1" ht="13.5" customHeight="1">
      <c r="A793" s="57"/>
    </row>
    <row r="794" spans="1:1" ht="13.5" customHeight="1">
      <c r="A794" s="57"/>
    </row>
    <row r="795" spans="1:1" ht="13.5" customHeight="1">
      <c r="A795" s="57"/>
    </row>
    <row r="796" spans="1:1" ht="13.5" customHeight="1">
      <c r="A796" s="57"/>
    </row>
    <row r="797" spans="1:1" ht="13.5" customHeight="1">
      <c r="A797" s="57"/>
    </row>
    <row r="798" spans="1:1" ht="13.5" customHeight="1">
      <c r="A798" s="57"/>
    </row>
    <row r="799" spans="1:1" ht="13.5" customHeight="1">
      <c r="A799" s="57"/>
    </row>
    <row r="800" spans="1:1" ht="13.5" customHeight="1">
      <c r="A800" s="57"/>
    </row>
    <row r="801" spans="1:1" ht="13.5" customHeight="1">
      <c r="A801" s="57"/>
    </row>
    <row r="802" spans="1:1" ht="13.5" customHeight="1">
      <c r="A802" s="57"/>
    </row>
    <row r="803" spans="1:1" ht="13.5" customHeight="1">
      <c r="A803" s="57"/>
    </row>
    <row r="804" spans="1:1" ht="13.5" customHeight="1">
      <c r="A804" s="57"/>
    </row>
    <row r="805" spans="1:1" ht="13.5" customHeight="1">
      <c r="A805" s="57"/>
    </row>
    <row r="806" spans="1:1" ht="13.5" customHeight="1">
      <c r="A806" s="57"/>
    </row>
    <row r="807" spans="1:1" ht="13.5" customHeight="1">
      <c r="A807" s="57"/>
    </row>
    <row r="808" spans="1:1" ht="13.5" customHeight="1">
      <c r="A808" s="57"/>
    </row>
    <row r="809" spans="1:1" ht="13.5" customHeight="1">
      <c r="A809" s="57"/>
    </row>
    <row r="810" spans="1:1" ht="13.5" customHeight="1">
      <c r="A810" s="57"/>
    </row>
    <row r="811" spans="1:1" ht="13.5" customHeight="1">
      <c r="A811" s="57"/>
    </row>
    <row r="812" spans="1:1" ht="13.5" customHeight="1">
      <c r="A812" s="57"/>
    </row>
    <row r="813" spans="1:1" ht="13.5" customHeight="1">
      <c r="A813" s="57"/>
    </row>
    <row r="814" spans="1:1" ht="13.5" customHeight="1">
      <c r="A814" s="57"/>
    </row>
    <row r="815" spans="1:1" ht="13.5" customHeight="1">
      <c r="A815" s="57"/>
    </row>
    <row r="816" spans="1:1" ht="13.5" customHeight="1">
      <c r="A816" s="57"/>
    </row>
    <row r="817" spans="1:1" ht="13.5" customHeight="1">
      <c r="A817" s="57"/>
    </row>
    <row r="818" spans="1:1" ht="13.5" customHeight="1">
      <c r="A818" s="57"/>
    </row>
    <row r="819" spans="1:1" ht="13.5" customHeight="1">
      <c r="A819" s="57"/>
    </row>
    <row r="820" spans="1:1" ht="13.5" customHeight="1">
      <c r="A820" s="57"/>
    </row>
    <row r="821" spans="1:1" ht="13.5" customHeight="1">
      <c r="A821" s="57"/>
    </row>
    <row r="822" spans="1:1" ht="13.5" customHeight="1">
      <c r="A822" s="57"/>
    </row>
    <row r="823" spans="1:1" ht="13.5" customHeight="1">
      <c r="A823" s="57"/>
    </row>
    <row r="824" spans="1:1" ht="13.5" customHeight="1">
      <c r="A824" s="57"/>
    </row>
    <row r="825" spans="1:1" ht="13.5" customHeight="1">
      <c r="A825" s="57"/>
    </row>
    <row r="826" spans="1:1" ht="13.5" customHeight="1">
      <c r="A826" s="57"/>
    </row>
    <row r="827" spans="1:1" ht="13.5" customHeight="1">
      <c r="A827" s="57"/>
    </row>
    <row r="828" spans="1:1" ht="13.5" customHeight="1">
      <c r="A828" s="57"/>
    </row>
    <row r="829" spans="1:1" ht="13.5" customHeight="1">
      <c r="A829" s="57"/>
    </row>
    <row r="830" spans="1:1" ht="13.5" customHeight="1">
      <c r="A830" s="57"/>
    </row>
    <row r="831" spans="1:1" ht="13.5" customHeight="1">
      <c r="A831" s="57"/>
    </row>
    <row r="832" spans="1:1" ht="13.5" customHeight="1">
      <c r="A832" s="57"/>
    </row>
    <row r="833" spans="1:1" ht="13.5" customHeight="1">
      <c r="A833" s="57"/>
    </row>
    <row r="834" spans="1:1" ht="13.5" customHeight="1">
      <c r="A834" s="57"/>
    </row>
    <row r="835" spans="1:1" ht="13.5" customHeight="1">
      <c r="A835" s="57"/>
    </row>
    <row r="836" spans="1:1" ht="13.5" customHeight="1">
      <c r="A836" s="57"/>
    </row>
    <row r="837" spans="1:1" ht="13.5" customHeight="1">
      <c r="A837" s="57"/>
    </row>
    <row r="838" spans="1:1" ht="13.5" customHeight="1">
      <c r="A838" s="57"/>
    </row>
    <row r="839" spans="1:1" ht="13.5" customHeight="1">
      <c r="A839" s="57"/>
    </row>
    <row r="840" spans="1:1" ht="13.5" customHeight="1">
      <c r="A840" s="57"/>
    </row>
    <row r="841" spans="1:1" ht="13.5" customHeight="1">
      <c r="A841" s="57"/>
    </row>
    <row r="842" spans="1:1" ht="13.5" customHeight="1">
      <c r="A842" s="57"/>
    </row>
    <row r="843" spans="1:1" ht="13.5" customHeight="1">
      <c r="A843" s="57"/>
    </row>
    <row r="844" spans="1:1" ht="13.5" customHeight="1">
      <c r="A844" s="57"/>
    </row>
    <row r="845" spans="1:1" ht="13.5" customHeight="1">
      <c r="A845" s="57"/>
    </row>
    <row r="846" spans="1:1" ht="13.5" customHeight="1">
      <c r="A846" s="57"/>
    </row>
    <row r="847" spans="1:1" ht="13.5" customHeight="1">
      <c r="A847" s="57"/>
    </row>
    <row r="848" spans="1:1" ht="13.5" customHeight="1">
      <c r="A848" s="57"/>
    </row>
    <row r="849" spans="1:1" ht="13.5" customHeight="1">
      <c r="A849" s="57"/>
    </row>
    <row r="850" spans="1:1" ht="13.5" customHeight="1">
      <c r="A850" s="57"/>
    </row>
    <row r="851" spans="1:1" ht="13.5" customHeight="1">
      <c r="A851" s="57"/>
    </row>
    <row r="852" spans="1:1" ht="13.5" customHeight="1">
      <c r="A852" s="57"/>
    </row>
    <row r="853" spans="1:1" ht="13.5" customHeight="1">
      <c r="A853" s="57"/>
    </row>
    <row r="854" spans="1:1" ht="13.5" customHeight="1">
      <c r="A854" s="57"/>
    </row>
    <row r="855" spans="1:1" ht="13.5" customHeight="1">
      <c r="A855" s="57"/>
    </row>
    <row r="856" spans="1:1" ht="13.5" customHeight="1">
      <c r="A856" s="57"/>
    </row>
    <row r="857" spans="1:1" ht="13.5" customHeight="1">
      <c r="A857" s="57"/>
    </row>
    <row r="858" spans="1:1" ht="13.5" customHeight="1">
      <c r="A858" s="57"/>
    </row>
    <row r="859" spans="1:1" ht="13.5" customHeight="1">
      <c r="A859" s="57"/>
    </row>
    <row r="860" spans="1:1" ht="13.5" customHeight="1">
      <c r="A860" s="57"/>
    </row>
    <row r="861" spans="1:1" ht="13.5" customHeight="1">
      <c r="A861" s="57"/>
    </row>
    <row r="862" spans="1:1" ht="13.5" customHeight="1">
      <c r="A862" s="57"/>
    </row>
    <row r="863" spans="1:1" ht="13.5" customHeight="1">
      <c r="A863" s="57"/>
    </row>
    <row r="864" spans="1:1" ht="13.5" customHeight="1">
      <c r="A864" s="57"/>
    </row>
    <row r="865" spans="1:1" ht="13.5" customHeight="1">
      <c r="A865" s="57"/>
    </row>
    <row r="866" spans="1:1" ht="13.5" customHeight="1">
      <c r="A866" s="57"/>
    </row>
    <row r="867" spans="1:1" ht="13.5" customHeight="1">
      <c r="A867" s="57"/>
    </row>
    <row r="868" spans="1:1" ht="13.5" customHeight="1">
      <c r="A868" s="57"/>
    </row>
    <row r="869" spans="1:1" ht="13.5" customHeight="1">
      <c r="A869" s="57"/>
    </row>
    <row r="870" spans="1:1" ht="13.5" customHeight="1">
      <c r="A870" s="57"/>
    </row>
    <row r="871" spans="1:1" ht="13.5" customHeight="1">
      <c r="A871" s="57"/>
    </row>
    <row r="872" spans="1:1" ht="13.5" customHeight="1">
      <c r="A872" s="57"/>
    </row>
    <row r="873" spans="1:1" ht="13.5" customHeight="1">
      <c r="A873" s="57"/>
    </row>
    <row r="874" spans="1:1" ht="13.5" customHeight="1">
      <c r="A874" s="57"/>
    </row>
    <row r="875" spans="1:1" ht="13.5" customHeight="1">
      <c r="A875" s="57"/>
    </row>
    <row r="876" spans="1:1" ht="13.5" customHeight="1">
      <c r="A876" s="57"/>
    </row>
    <row r="877" spans="1:1" ht="13.5" customHeight="1">
      <c r="A877" s="57"/>
    </row>
    <row r="878" spans="1:1" ht="13.5" customHeight="1">
      <c r="A878" s="57"/>
    </row>
    <row r="879" spans="1:1" ht="13.5" customHeight="1">
      <c r="A879" s="57"/>
    </row>
    <row r="880" spans="1:1" ht="13.5" customHeight="1">
      <c r="A880" s="57"/>
    </row>
    <row r="881" spans="1:1" ht="13.5" customHeight="1">
      <c r="A881" s="57"/>
    </row>
    <row r="882" spans="1:1" ht="13.5" customHeight="1">
      <c r="A882" s="57"/>
    </row>
    <row r="883" spans="1:1" ht="13.5" customHeight="1">
      <c r="A883" s="57"/>
    </row>
    <row r="884" spans="1:1" ht="13.5" customHeight="1">
      <c r="A884" s="57"/>
    </row>
    <row r="885" spans="1:1" ht="13.5" customHeight="1">
      <c r="A885" s="57"/>
    </row>
    <row r="886" spans="1:1" ht="13.5" customHeight="1">
      <c r="A886" s="57"/>
    </row>
    <row r="887" spans="1:1" ht="13.5" customHeight="1">
      <c r="A887" s="57"/>
    </row>
    <row r="888" spans="1:1" ht="13.5" customHeight="1">
      <c r="A888" s="57"/>
    </row>
    <row r="889" spans="1:1" ht="13.5" customHeight="1">
      <c r="A889" s="57"/>
    </row>
    <row r="890" spans="1:1" ht="13.5" customHeight="1">
      <c r="A890" s="57"/>
    </row>
    <row r="891" spans="1:1" ht="13.5" customHeight="1">
      <c r="A891" s="57"/>
    </row>
    <row r="892" spans="1:1" ht="13.5" customHeight="1">
      <c r="A892" s="57"/>
    </row>
    <row r="893" spans="1:1" ht="13.5" customHeight="1">
      <c r="A893" s="57"/>
    </row>
    <row r="894" spans="1:1" ht="13.5" customHeight="1">
      <c r="A894" s="57"/>
    </row>
    <row r="895" spans="1:1" ht="13.5" customHeight="1">
      <c r="A895" s="57"/>
    </row>
    <row r="896" spans="1:1" ht="13.5" customHeight="1">
      <c r="A896" s="57"/>
    </row>
    <row r="897" spans="1:1" ht="13.5" customHeight="1">
      <c r="A897" s="57"/>
    </row>
    <row r="898" spans="1:1" ht="13.5" customHeight="1">
      <c r="A898" s="57"/>
    </row>
    <row r="899" spans="1:1" ht="13.5" customHeight="1">
      <c r="A899" s="57"/>
    </row>
    <row r="900" spans="1:1" ht="13.5" customHeight="1">
      <c r="A900" s="57"/>
    </row>
    <row r="901" spans="1:1" ht="13.5" customHeight="1">
      <c r="A901" s="57"/>
    </row>
    <row r="902" spans="1:1" ht="13.5" customHeight="1">
      <c r="A902" s="57"/>
    </row>
    <row r="903" spans="1:1" ht="13.5" customHeight="1">
      <c r="A903" s="57"/>
    </row>
    <row r="904" spans="1:1" ht="13.5" customHeight="1">
      <c r="A904" s="57"/>
    </row>
    <row r="905" spans="1:1" ht="13.5" customHeight="1">
      <c r="A905" s="57"/>
    </row>
    <row r="906" spans="1:1" ht="13.5" customHeight="1">
      <c r="A906" s="57"/>
    </row>
    <row r="907" spans="1:1" ht="13.5" customHeight="1">
      <c r="A907" s="57"/>
    </row>
    <row r="908" spans="1:1" ht="13.5" customHeight="1">
      <c r="A908" s="57"/>
    </row>
    <row r="909" spans="1:1" ht="13.5" customHeight="1">
      <c r="A909" s="57"/>
    </row>
    <row r="910" spans="1:1" ht="13.5" customHeight="1">
      <c r="A910" s="57"/>
    </row>
    <row r="911" spans="1:1" ht="13.5" customHeight="1">
      <c r="A911" s="57"/>
    </row>
    <row r="912" spans="1:1" ht="13.5" customHeight="1">
      <c r="A912" s="57"/>
    </row>
    <row r="913" spans="1:1" ht="13.5" customHeight="1">
      <c r="A913" s="57"/>
    </row>
    <row r="914" spans="1:1" ht="13.5" customHeight="1">
      <c r="A914" s="57"/>
    </row>
    <row r="915" spans="1:1" ht="13.5" customHeight="1">
      <c r="A915" s="57"/>
    </row>
    <row r="916" spans="1:1" ht="13.5" customHeight="1">
      <c r="A916" s="57"/>
    </row>
    <row r="917" spans="1:1" ht="13.5" customHeight="1">
      <c r="A917" s="57"/>
    </row>
    <row r="918" spans="1:1" ht="13.5" customHeight="1">
      <c r="A918" s="57"/>
    </row>
    <row r="919" spans="1:1" ht="13.5" customHeight="1">
      <c r="A919" s="57"/>
    </row>
    <row r="920" spans="1:1" ht="13.5" customHeight="1">
      <c r="A920" s="57"/>
    </row>
    <row r="921" spans="1:1" ht="13.5" customHeight="1">
      <c r="A921" s="57"/>
    </row>
    <row r="922" spans="1:1" ht="13.5" customHeight="1">
      <c r="A922" s="57"/>
    </row>
    <row r="923" spans="1:1" ht="13.5" customHeight="1">
      <c r="A923" s="57"/>
    </row>
    <row r="924" spans="1:1" ht="13.5" customHeight="1">
      <c r="A924" s="57"/>
    </row>
    <row r="925" spans="1:1" ht="13.5" customHeight="1">
      <c r="A925" s="57"/>
    </row>
    <row r="926" spans="1:1" ht="13.5" customHeight="1">
      <c r="A926" s="57"/>
    </row>
    <row r="927" spans="1:1" ht="13.5" customHeight="1">
      <c r="A927" s="57"/>
    </row>
    <row r="928" spans="1:1" ht="13.5" customHeight="1">
      <c r="A928" s="57"/>
    </row>
    <row r="929" spans="1:1" ht="13.5" customHeight="1">
      <c r="A929" s="57"/>
    </row>
    <row r="930" spans="1:1" ht="13.5" customHeight="1">
      <c r="A930" s="57"/>
    </row>
    <row r="931" spans="1:1" ht="13.5" customHeight="1">
      <c r="A931" s="57"/>
    </row>
    <row r="932" spans="1:1" ht="13.5" customHeight="1">
      <c r="A932" s="57"/>
    </row>
    <row r="933" spans="1:1" ht="13.5" customHeight="1">
      <c r="A933" s="57"/>
    </row>
    <row r="934" spans="1:1" ht="13.5" customHeight="1">
      <c r="A934" s="57"/>
    </row>
    <row r="935" spans="1:1" ht="13.5" customHeight="1">
      <c r="A935" s="57"/>
    </row>
    <row r="936" spans="1:1" ht="13.5" customHeight="1">
      <c r="A936" s="57"/>
    </row>
    <row r="937" spans="1:1" ht="13.5" customHeight="1">
      <c r="A937" s="57"/>
    </row>
    <row r="938" spans="1:1" ht="13.5" customHeight="1">
      <c r="A938" s="57"/>
    </row>
    <row r="939" spans="1:1" ht="13.5" customHeight="1">
      <c r="A939" s="57"/>
    </row>
    <row r="940" spans="1:1" ht="13.5" customHeight="1">
      <c r="A940" s="57"/>
    </row>
    <row r="941" spans="1:1" ht="13.5" customHeight="1">
      <c r="A941" s="57"/>
    </row>
    <row r="942" spans="1:1" ht="13.5" customHeight="1">
      <c r="A942" s="57"/>
    </row>
    <row r="943" spans="1:1" ht="13.5" customHeight="1">
      <c r="A943" s="57"/>
    </row>
    <row r="944" spans="1:1" ht="13.5" customHeight="1">
      <c r="A944" s="57"/>
    </row>
    <row r="945" spans="1:1" ht="13.5" customHeight="1">
      <c r="A945" s="57"/>
    </row>
    <row r="946" spans="1:1" ht="13.5" customHeight="1">
      <c r="A946" s="57"/>
    </row>
    <row r="947" spans="1:1" ht="13.5" customHeight="1">
      <c r="A947" s="57"/>
    </row>
    <row r="948" spans="1:1" ht="13.5" customHeight="1">
      <c r="A948" s="57"/>
    </row>
    <row r="949" spans="1:1" ht="13.5" customHeight="1">
      <c r="A949" s="57"/>
    </row>
    <row r="950" spans="1:1" ht="13.5" customHeight="1">
      <c r="A950" s="57"/>
    </row>
    <row r="951" spans="1:1" ht="13.5" customHeight="1">
      <c r="A951" s="57"/>
    </row>
    <row r="952" spans="1:1" ht="13.5" customHeight="1">
      <c r="A952" s="57"/>
    </row>
    <row r="953" spans="1:1" ht="13.5" customHeight="1">
      <c r="A953" s="57"/>
    </row>
    <row r="954" spans="1:1" ht="13.5" customHeight="1">
      <c r="A954" s="57"/>
    </row>
    <row r="955" spans="1:1" ht="13.5" customHeight="1">
      <c r="A955" s="57"/>
    </row>
    <row r="956" spans="1:1" ht="13.5" customHeight="1">
      <c r="A956" s="57"/>
    </row>
    <row r="957" spans="1:1" ht="13.5" customHeight="1">
      <c r="A957" s="57"/>
    </row>
    <row r="958" spans="1:1" ht="13.5" customHeight="1">
      <c r="A958" s="57"/>
    </row>
    <row r="959" spans="1:1" ht="13.5" customHeight="1">
      <c r="A959" s="57"/>
    </row>
    <row r="960" spans="1:1" ht="13.5" customHeight="1">
      <c r="A960" s="57"/>
    </row>
    <row r="961" spans="1:1" ht="13.5" customHeight="1">
      <c r="A961" s="57"/>
    </row>
    <row r="962" spans="1:1" ht="13.5" customHeight="1">
      <c r="A962" s="57"/>
    </row>
    <row r="963" spans="1:1" ht="13.5" customHeight="1">
      <c r="A963" s="57"/>
    </row>
    <row r="964" spans="1:1" ht="13.5" customHeight="1">
      <c r="A964" s="57"/>
    </row>
    <row r="965" spans="1:1" ht="13.5" customHeight="1">
      <c r="A965" s="57"/>
    </row>
    <row r="966" spans="1:1" ht="13.5" customHeight="1">
      <c r="A966" s="57"/>
    </row>
    <row r="967" spans="1:1" ht="13.5" customHeight="1">
      <c r="A967" s="57"/>
    </row>
    <row r="968" spans="1:1" ht="13.5" customHeight="1">
      <c r="A968" s="57"/>
    </row>
    <row r="969" spans="1:1" ht="13.5" customHeight="1">
      <c r="A969" s="57"/>
    </row>
    <row r="970" spans="1:1" ht="13.5" customHeight="1">
      <c r="A970" s="57"/>
    </row>
    <row r="971" spans="1:1" ht="13.5" customHeight="1">
      <c r="A971" s="57"/>
    </row>
    <row r="972" spans="1:1" ht="13.5" customHeight="1">
      <c r="A972" s="57"/>
    </row>
    <row r="973" spans="1:1" ht="13.5" customHeight="1">
      <c r="A973" s="57"/>
    </row>
    <row r="974" spans="1:1" ht="13.5" customHeight="1">
      <c r="A974" s="57"/>
    </row>
    <row r="975" spans="1:1" ht="13.5" customHeight="1">
      <c r="A975" s="57"/>
    </row>
    <row r="976" spans="1:1" ht="13.5" customHeight="1">
      <c r="A976" s="57"/>
    </row>
    <row r="977" spans="1:1" ht="13.5" customHeight="1">
      <c r="A977" s="57"/>
    </row>
    <row r="978" spans="1:1" ht="13.5" customHeight="1">
      <c r="A978" s="57"/>
    </row>
    <row r="979" spans="1:1" ht="13.5" customHeight="1">
      <c r="A979" s="57"/>
    </row>
    <row r="980" spans="1:1" ht="13.5" customHeight="1">
      <c r="A980" s="57"/>
    </row>
    <row r="981" spans="1:1" ht="13.5" customHeight="1">
      <c r="A981" s="57"/>
    </row>
    <row r="982" spans="1:1" ht="13.5" customHeight="1">
      <c r="A982" s="57"/>
    </row>
    <row r="983" spans="1:1" ht="13.5" customHeight="1">
      <c r="A983" s="57"/>
    </row>
    <row r="984" spans="1:1" ht="13.5" customHeight="1">
      <c r="A984" s="57"/>
    </row>
    <row r="985" spans="1:1" ht="13.5" customHeight="1">
      <c r="A985" s="57"/>
    </row>
    <row r="986" spans="1:1" ht="13.5" customHeight="1">
      <c r="A986" s="57"/>
    </row>
    <row r="987" spans="1:1" ht="13.5" customHeight="1">
      <c r="A987" s="57"/>
    </row>
    <row r="988" spans="1:1" ht="13.5" customHeight="1">
      <c r="A988" s="57"/>
    </row>
    <row r="989" spans="1:1" ht="13.5" customHeight="1">
      <c r="A989" s="57"/>
    </row>
    <row r="990" spans="1:1" ht="13.5" customHeight="1">
      <c r="A990" s="57"/>
    </row>
    <row r="991" spans="1:1" ht="13.5" customHeight="1">
      <c r="A991" s="57"/>
    </row>
    <row r="992" spans="1:1" ht="13.5" customHeight="1">
      <c r="A992" s="57"/>
    </row>
    <row r="993" spans="1:1" ht="13.5" customHeight="1">
      <c r="A993" s="57"/>
    </row>
    <row r="994" spans="1:1" ht="13.5" customHeight="1">
      <c r="A994" s="57"/>
    </row>
    <row r="995" spans="1:1" ht="13.5" customHeight="1">
      <c r="A995" s="57"/>
    </row>
    <row r="996" spans="1:1" ht="13.5" customHeight="1">
      <c r="A996" s="57"/>
    </row>
    <row r="997" spans="1:1" ht="13.5" customHeight="1">
      <c r="A997" s="57"/>
    </row>
    <row r="998" spans="1:1" ht="13.5" customHeight="1">
      <c r="A998" s="57"/>
    </row>
    <row r="999" spans="1:1" ht="13.5" customHeight="1">
      <c r="A999" s="57"/>
    </row>
    <row r="1000" spans="1:1" ht="13.5" customHeight="1">
      <c r="A1000" s="57"/>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367" t="s">
        <v>193</v>
      </c>
      <c r="B1" s="197"/>
      <c r="C1" s="197"/>
      <c r="D1" s="197"/>
      <c r="E1" s="197"/>
      <c r="F1" s="197"/>
      <c r="G1" s="197"/>
      <c r="H1" s="197"/>
      <c r="I1" s="197"/>
      <c r="J1" s="198"/>
    </row>
    <row r="2" spans="1:11" ht="12.75" customHeight="1">
      <c r="A2" s="207" t="s">
        <v>194</v>
      </c>
      <c r="B2" s="177"/>
      <c r="C2" s="177"/>
      <c r="D2" s="177"/>
      <c r="E2" s="177"/>
      <c r="F2" s="177"/>
      <c r="G2" s="177"/>
      <c r="H2" s="177"/>
      <c r="I2" s="177"/>
      <c r="J2" s="178"/>
    </row>
    <row r="3" spans="1:11" ht="12.75" customHeight="1">
      <c r="A3" s="183"/>
      <c r="B3" s="181"/>
      <c r="C3" s="181"/>
      <c r="D3" s="181"/>
      <c r="E3" s="181"/>
      <c r="F3" s="181"/>
      <c r="G3" s="181"/>
      <c r="H3" s="181"/>
      <c r="I3" s="181"/>
      <c r="J3" s="182"/>
    </row>
    <row r="4" spans="1:11" ht="12.75" customHeight="1">
      <c r="A4" s="201"/>
      <c r="B4" s="188"/>
      <c r="C4" s="188"/>
      <c r="D4" s="188"/>
      <c r="E4" s="188"/>
      <c r="F4" s="188"/>
      <c r="G4" s="188"/>
      <c r="H4" s="188"/>
      <c r="I4" s="188"/>
      <c r="J4" s="189"/>
    </row>
    <row r="5" spans="1:11" ht="12.75" customHeight="1">
      <c r="A5" s="88"/>
      <c r="B5" s="89"/>
      <c r="C5" s="89"/>
      <c r="D5" s="89"/>
      <c r="E5" s="89"/>
      <c r="F5" s="89"/>
      <c r="G5" s="89"/>
      <c r="H5" s="89"/>
      <c r="I5" s="89"/>
      <c r="J5" s="90"/>
    </row>
    <row r="6" spans="1:11" ht="12.75" customHeight="1">
      <c r="A6" s="120"/>
      <c r="H6" s="368" t="s">
        <v>195</v>
      </c>
      <c r="I6" s="181"/>
      <c r="J6" s="182"/>
      <c r="K6" s="20"/>
    </row>
    <row r="7" spans="1:11" ht="12.75" customHeight="1">
      <c r="A7" s="369" t="s">
        <v>196</v>
      </c>
      <c r="B7" s="188"/>
      <c r="C7" s="188"/>
      <c r="D7" s="188"/>
      <c r="E7" s="188"/>
      <c r="F7" s="188"/>
      <c r="G7" s="188"/>
      <c r="H7" s="188"/>
      <c r="I7" s="188"/>
      <c r="J7" s="189"/>
    </row>
    <row r="8" spans="1:11" ht="12.75" customHeight="1">
      <c r="A8" s="366" t="s">
        <v>197</v>
      </c>
      <c r="B8" s="197"/>
      <c r="C8" s="197"/>
      <c r="D8" s="197"/>
      <c r="E8" s="197"/>
      <c r="F8" s="197"/>
      <c r="G8" s="198"/>
      <c r="H8" s="146"/>
      <c r="I8" s="59"/>
      <c r="J8" s="146"/>
    </row>
    <row r="9" spans="1:11" ht="12.75" customHeight="1">
      <c r="A9" s="230" t="s">
        <v>198</v>
      </c>
      <c r="B9" s="197"/>
      <c r="C9" s="197"/>
      <c r="D9" s="197"/>
      <c r="E9" s="197"/>
      <c r="F9" s="197"/>
      <c r="G9" s="198"/>
      <c r="H9" s="146"/>
      <c r="I9" s="60"/>
      <c r="J9" s="146"/>
    </row>
    <row r="10" spans="1:11" ht="12.75" customHeight="1">
      <c r="A10" s="366" t="s">
        <v>199</v>
      </c>
      <c r="B10" s="197"/>
      <c r="C10" s="197"/>
      <c r="D10" s="197"/>
      <c r="E10" s="197"/>
      <c r="F10" s="197"/>
      <c r="G10" s="198"/>
      <c r="H10" s="146"/>
      <c r="I10" s="59"/>
      <c r="J10" s="146"/>
    </row>
    <row r="11" spans="1:11" ht="12.75" customHeight="1">
      <c r="A11" s="230" t="s">
        <v>200</v>
      </c>
      <c r="B11" s="197"/>
      <c r="C11" s="197"/>
      <c r="D11" s="197"/>
      <c r="E11" s="197"/>
      <c r="F11" s="197"/>
      <c r="G11" s="198"/>
      <c r="H11" s="146"/>
      <c r="I11" s="60"/>
      <c r="J11" s="146"/>
    </row>
    <row r="12" spans="1:11" ht="12.75" customHeight="1">
      <c r="A12" s="366" t="s">
        <v>201</v>
      </c>
      <c r="B12" s="197"/>
      <c r="C12" s="197"/>
      <c r="D12" s="197"/>
      <c r="E12" s="197"/>
      <c r="F12" s="197"/>
      <c r="G12" s="198"/>
      <c r="H12" s="146"/>
      <c r="I12" s="59"/>
      <c r="J12" s="146"/>
    </row>
    <row r="13" spans="1:11" ht="12.75" customHeight="1">
      <c r="A13" s="230" t="s">
        <v>202</v>
      </c>
      <c r="B13" s="197"/>
      <c r="C13" s="197"/>
      <c r="D13" s="197"/>
      <c r="E13" s="197"/>
      <c r="F13" s="197"/>
      <c r="G13" s="198"/>
      <c r="H13" s="146"/>
      <c r="I13" s="60"/>
      <c r="J13" s="146"/>
    </row>
    <row r="14" spans="1:11" ht="12.75" customHeight="1">
      <c r="A14" s="366" t="s">
        <v>203</v>
      </c>
      <c r="B14" s="197"/>
      <c r="C14" s="197"/>
      <c r="D14" s="197"/>
      <c r="E14" s="197"/>
      <c r="F14" s="197"/>
      <c r="G14" s="198"/>
      <c r="H14" s="146"/>
      <c r="I14" s="59"/>
      <c r="J14" s="146"/>
    </row>
    <row r="15" spans="1:11" ht="12.75" customHeight="1">
      <c r="A15" s="230" t="s">
        <v>204</v>
      </c>
      <c r="B15" s="197"/>
      <c r="C15" s="197"/>
      <c r="D15" s="197"/>
      <c r="E15" s="197"/>
      <c r="F15" s="197"/>
      <c r="G15" s="198"/>
      <c r="H15" s="146"/>
      <c r="I15" s="60"/>
      <c r="J15" s="146"/>
    </row>
    <row r="16" spans="1:11" ht="12.75" customHeight="1">
      <c r="A16" s="366" t="s">
        <v>205</v>
      </c>
      <c r="B16" s="197"/>
      <c r="C16" s="197"/>
      <c r="D16" s="197"/>
      <c r="E16" s="197"/>
      <c r="F16" s="197"/>
      <c r="G16" s="198"/>
      <c r="H16" s="146"/>
      <c r="I16" s="59"/>
      <c r="J16" s="146"/>
    </row>
    <row r="17" spans="1:10" ht="12.75" customHeight="1">
      <c r="A17" s="230" t="s">
        <v>206</v>
      </c>
      <c r="B17" s="197"/>
      <c r="C17" s="197"/>
      <c r="D17" s="197"/>
      <c r="E17" s="197"/>
      <c r="F17" s="197"/>
      <c r="G17" s="198"/>
      <c r="H17" s="146"/>
      <c r="I17" s="60"/>
      <c r="J17" s="146"/>
    </row>
    <row r="18" spans="1:10" ht="12.75" customHeight="1">
      <c r="A18" s="366" t="s">
        <v>207</v>
      </c>
      <c r="B18" s="197"/>
      <c r="C18" s="197"/>
      <c r="D18" s="197"/>
      <c r="E18" s="197"/>
      <c r="F18" s="197"/>
      <c r="G18" s="198"/>
      <c r="H18" s="146"/>
      <c r="I18" s="59"/>
      <c r="J18" s="146"/>
    </row>
    <row r="19" spans="1:10" ht="12.75" customHeight="1">
      <c r="A19" s="230" t="s">
        <v>208</v>
      </c>
      <c r="B19" s="198"/>
      <c r="C19" s="230"/>
      <c r="D19" s="197"/>
      <c r="E19" s="197"/>
      <c r="F19" s="197"/>
      <c r="G19" s="198"/>
      <c r="H19" s="146"/>
      <c r="I19" s="60"/>
      <c r="J19" s="146"/>
    </row>
    <row r="20" spans="1:10" ht="12.75" customHeight="1">
      <c r="A20" s="366" t="s">
        <v>208</v>
      </c>
      <c r="B20" s="198"/>
      <c r="C20" s="366"/>
      <c r="D20" s="197"/>
      <c r="E20" s="197"/>
      <c r="F20" s="197"/>
      <c r="G20" s="198"/>
      <c r="H20" s="146"/>
      <c r="I20" s="59"/>
      <c r="J20" s="146"/>
    </row>
    <row r="21" spans="1:10" ht="12.75" customHeight="1">
      <c r="A21" s="230" t="s">
        <v>208</v>
      </c>
      <c r="B21" s="198"/>
      <c r="C21" s="230"/>
      <c r="D21" s="197"/>
      <c r="E21" s="197"/>
      <c r="F21" s="197"/>
      <c r="G21" s="198"/>
      <c r="H21" s="146"/>
      <c r="I21" s="60"/>
      <c r="J21" s="146"/>
    </row>
    <row r="22" spans="1:10" ht="12.75" customHeight="1">
      <c r="A22" s="366" t="s">
        <v>208</v>
      </c>
      <c r="B22" s="198"/>
      <c r="C22" s="366"/>
      <c r="D22" s="197"/>
      <c r="E22" s="197"/>
      <c r="F22" s="197"/>
      <c r="G22" s="198"/>
      <c r="H22" s="146"/>
      <c r="I22" s="59"/>
      <c r="J22" s="146"/>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65" t="s">
        <v>209</v>
      </c>
      <c r="B56" s="181"/>
      <c r="C56" s="181"/>
      <c r="D56" s="181"/>
      <c r="E56" s="193" t="str">
        <f>County</f>
        <v>San Francisco</v>
      </c>
      <c r="F56" s="181"/>
      <c r="G56" s="181"/>
      <c r="H56" s="181"/>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367" t="s">
        <v>210</v>
      </c>
      <c r="B1" s="197"/>
      <c r="C1" s="197"/>
      <c r="D1" s="197"/>
      <c r="E1" s="197"/>
      <c r="F1" s="197"/>
      <c r="G1" s="197"/>
      <c r="H1" s="197"/>
      <c r="I1" s="197"/>
      <c r="J1" s="198"/>
    </row>
    <row r="2" spans="1:10" ht="12.75" customHeight="1">
      <c r="A2" s="370" t="s">
        <v>211</v>
      </c>
      <c r="B2" s="177"/>
      <c r="C2" s="177"/>
      <c r="D2" s="177"/>
      <c r="E2" s="177"/>
      <c r="F2" s="177"/>
      <c r="G2" s="177"/>
      <c r="H2" s="177"/>
      <c r="I2" s="177"/>
      <c r="J2" s="178"/>
    </row>
    <row r="3" spans="1:10" ht="12.75" customHeight="1">
      <c r="A3" s="371" t="s">
        <v>212</v>
      </c>
      <c r="B3" s="181"/>
      <c r="C3" s="181"/>
      <c r="D3" s="181"/>
      <c r="E3" s="181"/>
      <c r="F3" s="181"/>
      <c r="G3" s="181"/>
      <c r="H3" s="181"/>
      <c r="I3" s="181"/>
      <c r="J3" s="182"/>
    </row>
    <row r="4" spans="1:10" ht="12.75" customHeight="1">
      <c r="A4" s="371" t="s">
        <v>213</v>
      </c>
      <c r="B4" s="181"/>
      <c r="C4" s="181"/>
      <c r="D4" s="181"/>
      <c r="E4" s="181"/>
      <c r="F4" s="181"/>
      <c r="G4" s="181"/>
      <c r="H4" s="181"/>
      <c r="I4" s="181"/>
      <c r="J4" s="182"/>
    </row>
    <row r="5" spans="1:10" ht="12.75" customHeight="1">
      <c r="A5" s="371" t="s">
        <v>214</v>
      </c>
      <c r="B5" s="181"/>
      <c r="C5" s="181"/>
      <c r="D5" s="181"/>
      <c r="E5" s="181"/>
      <c r="F5" s="181"/>
      <c r="G5" s="181"/>
      <c r="H5" s="181"/>
      <c r="I5" s="181"/>
      <c r="J5" s="182"/>
    </row>
    <row r="6" spans="1:10" ht="12.75" customHeight="1">
      <c r="A6" s="372" t="s">
        <v>215</v>
      </c>
      <c r="B6" s="188"/>
      <c r="C6" s="188"/>
      <c r="D6" s="188"/>
      <c r="E6" s="188"/>
      <c r="F6" s="188"/>
      <c r="G6" s="188"/>
      <c r="H6" s="188"/>
      <c r="I6" s="188"/>
      <c r="J6" s="189"/>
    </row>
    <row r="7" spans="1:10" ht="12.75" customHeight="1">
      <c r="A7" s="61" t="s">
        <v>216</v>
      </c>
      <c r="B7" s="62"/>
      <c r="C7" s="62"/>
      <c r="D7" s="62"/>
      <c r="E7" s="62"/>
      <c r="F7" s="62"/>
      <c r="G7" s="62"/>
      <c r="H7" s="63"/>
      <c r="I7" s="62"/>
      <c r="J7" s="147"/>
    </row>
    <row r="8" spans="1:10" ht="12.75" customHeight="1">
      <c r="A8" s="373" t="s">
        <v>217</v>
      </c>
      <c r="B8" s="192"/>
      <c r="C8" s="192"/>
      <c r="D8" s="192"/>
      <c r="E8" s="192"/>
      <c r="F8" s="192"/>
      <c r="G8" s="192"/>
      <c r="H8" s="192"/>
      <c r="I8" s="192"/>
      <c r="J8" s="182"/>
    </row>
    <row r="9" spans="1:10" ht="12.75" customHeight="1">
      <c r="A9" s="374" t="s">
        <v>218</v>
      </c>
      <c r="B9" s="188"/>
      <c r="C9" s="188"/>
      <c r="D9" s="188"/>
      <c r="E9" s="188"/>
      <c r="F9" s="188"/>
      <c r="G9" s="188"/>
      <c r="H9" s="188"/>
      <c r="I9" s="188"/>
      <c r="J9" s="189"/>
    </row>
    <row r="10" spans="1:10" ht="12.75" customHeight="1">
      <c r="A10" s="207"/>
      <c r="B10" s="177"/>
      <c r="C10" s="177"/>
      <c r="D10" s="177"/>
      <c r="E10" s="177"/>
      <c r="F10" s="177"/>
      <c r="G10" s="177"/>
      <c r="H10" s="177"/>
      <c r="I10" s="177"/>
      <c r="J10" s="178"/>
    </row>
    <row r="11" spans="1:10" ht="12.75" customHeight="1">
      <c r="A11" s="183"/>
      <c r="B11" s="181"/>
      <c r="C11" s="181"/>
      <c r="D11" s="181"/>
      <c r="E11" s="181"/>
      <c r="F11" s="181"/>
      <c r="G11" s="181"/>
      <c r="H11" s="181"/>
      <c r="I11" s="181"/>
      <c r="J11" s="182"/>
    </row>
    <row r="12" spans="1:10" ht="12.75" customHeight="1">
      <c r="A12" s="183"/>
      <c r="B12" s="181"/>
      <c r="C12" s="181"/>
      <c r="D12" s="181"/>
      <c r="E12" s="181"/>
      <c r="F12" s="181"/>
      <c r="G12" s="181"/>
      <c r="H12" s="181"/>
      <c r="I12" s="181"/>
      <c r="J12" s="182"/>
    </row>
    <row r="13" spans="1:10" ht="12.75" customHeight="1">
      <c r="A13" s="183"/>
      <c r="B13" s="181"/>
      <c r="C13" s="181"/>
      <c r="D13" s="181"/>
      <c r="E13" s="181"/>
      <c r="F13" s="181"/>
      <c r="G13" s="181"/>
      <c r="H13" s="181"/>
      <c r="I13" s="181"/>
      <c r="J13" s="182"/>
    </row>
    <row r="14" spans="1:10" ht="12.75" customHeight="1">
      <c r="A14" s="183"/>
      <c r="B14" s="181"/>
      <c r="C14" s="181"/>
      <c r="D14" s="181"/>
      <c r="E14" s="181"/>
      <c r="F14" s="181"/>
      <c r="G14" s="181"/>
      <c r="H14" s="181"/>
      <c r="I14" s="181"/>
      <c r="J14" s="182"/>
    </row>
    <row r="15" spans="1:10" ht="12.75" customHeight="1">
      <c r="A15" s="183"/>
      <c r="B15" s="181"/>
      <c r="C15" s="181"/>
      <c r="D15" s="181"/>
      <c r="E15" s="181"/>
      <c r="F15" s="181"/>
      <c r="G15" s="181"/>
      <c r="H15" s="181"/>
      <c r="I15" s="181"/>
      <c r="J15" s="182"/>
    </row>
    <row r="16" spans="1:10" ht="12.75" customHeight="1">
      <c r="A16" s="183"/>
      <c r="B16" s="181"/>
      <c r="C16" s="181"/>
      <c r="D16" s="181"/>
      <c r="E16" s="181"/>
      <c r="F16" s="181"/>
      <c r="G16" s="181"/>
      <c r="H16" s="181"/>
      <c r="I16" s="181"/>
      <c r="J16" s="182"/>
    </row>
    <row r="17" spans="1:10" ht="12.75" customHeight="1">
      <c r="A17" s="183"/>
      <c r="B17" s="181"/>
      <c r="C17" s="181"/>
      <c r="D17" s="181"/>
      <c r="E17" s="181"/>
      <c r="F17" s="181"/>
      <c r="G17" s="181"/>
      <c r="H17" s="181"/>
      <c r="I17" s="181"/>
      <c r="J17" s="182"/>
    </row>
    <row r="18" spans="1:10" ht="12.75" customHeight="1">
      <c r="A18" s="183"/>
      <c r="B18" s="181"/>
      <c r="C18" s="181"/>
      <c r="D18" s="181"/>
      <c r="E18" s="181"/>
      <c r="F18" s="181"/>
      <c r="G18" s="181"/>
      <c r="H18" s="181"/>
      <c r="I18" s="181"/>
      <c r="J18" s="182"/>
    </row>
    <row r="19" spans="1:10" ht="12.75" customHeight="1">
      <c r="A19" s="183"/>
      <c r="B19" s="181"/>
      <c r="C19" s="181"/>
      <c r="D19" s="181"/>
      <c r="E19" s="181"/>
      <c r="F19" s="181"/>
      <c r="G19" s="181"/>
      <c r="H19" s="181"/>
      <c r="I19" s="181"/>
      <c r="J19" s="182"/>
    </row>
    <row r="20" spans="1:10" ht="12.75" customHeight="1">
      <c r="A20" s="183"/>
      <c r="B20" s="181"/>
      <c r="C20" s="181"/>
      <c r="D20" s="181"/>
      <c r="E20" s="181"/>
      <c r="F20" s="181"/>
      <c r="G20" s="181"/>
      <c r="H20" s="181"/>
      <c r="I20" s="181"/>
      <c r="J20" s="182"/>
    </row>
    <row r="21" spans="1:10" ht="12.75" customHeight="1">
      <c r="A21" s="183"/>
      <c r="B21" s="181"/>
      <c r="C21" s="181"/>
      <c r="D21" s="181"/>
      <c r="E21" s="181"/>
      <c r="F21" s="181"/>
      <c r="G21" s="181"/>
      <c r="H21" s="181"/>
      <c r="I21" s="181"/>
      <c r="J21" s="182"/>
    </row>
    <row r="22" spans="1:10" ht="12.75" customHeight="1">
      <c r="A22" s="183"/>
      <c r="B22" s="181"/>
      <c r="C22" s="181"/>
      <c r="D22" s="181"/>
      <c r="E22" s="181"/>
      <c r="F22" s="181"/>
      <c r="G22" s="181"/>
      <c r="H22" s="181"/>
      <c r="I22" s="181"/>
      <c r="J22" s="182"/>
    </row>
    <row r="23" spans="1:10" ht="12.75" customHeight="1">
      <c r="A23" s="183"/>
      <c r="B23" s="181"/>
      <c r="C23" s="181"/>
      <c r="D23" s="181"/>
      <c r="E23" s="181"/>
      <c r="F23" s="181"/>
      <c r="G23" s="181"/>
      <c r="H23" s="181"/>
      <c r="I23" s="181"/>
      <c r="J23" s="182"/>
    </row>
    <row r="24" spans="1:10" ht="12.75" customHeight="1">
      <c r="A24" s="183"/>
      <c r="B24" s="181"/>
      <c r="C24" s="181"/>
      <c r="D24" s="181"/>
      <c r="E24" s="181"/>
      <c r="F24" s="181"/>
      <c r="G24" s="181"/>
      <c r="H24" s="181"/>
      <c r="I24" s="181"/>
      <c r="J24" s="182"/>
    </row>
    <row r="25" spans="1:10" ht="12.75" customHeight="1">
      <c r="A25" s="201"/>
      <c r="B25" s="188"/>
      <c r="C25" s="188"/>
      <c r="D25" s="188"/>
      <c r="E25" s="188"/>
      <c r="F25" s="188"/>
      <c r="G25" s="188"/>
      <c r="H25" s="188"/>
      <c r="I25" s="188"/>
      <c r="J25" s="189"/>
    </row>
    <row r="26" spans="1:10" ht="12.75" customHeight="1">
      <c r="A26" s="64" t="s">
        <v>219</v>
      </c>
      <c r="B26" s="65"/>
      <c r="C26" s="65"/>
      <c r="D26" s="65"/>
      <c r="E26" s="65"/>
      <c r="F26" s="65"/>
      <c r="G26" s="65"/>
      <c r="H26" s="65"/>
      <c r="I26" s="65"/>
      <c r="J26" s="148"/>
    </row>
    <row r="27" spans="1:10" ht="12.75" customHeight="1">
      <c r="A27" s="207"/>
      <c r="B27" s="177"/>
      <c r="C27" s="177"/>
      <c r="D27" s="177"/>
      <c r="E27" s="177"/>
      <c r="F27" s="177"/>
      <c r="G27" s="177"/>
      <c r="H27" s="177"/>
      <c r="I27" s="177"/>
      <c r="J27" s="178"/>
    </row>
    <row r="28" spans="1:10" ht="12.75" customHeight="1">
      <c r="A28" s="183"/>
      <c r="B28" s="181"/>
      <c r="C28" s="181"/>
      <c r="D28" s="181"/>
      <c r="E28" s="181"/>
      <c r="F28" s="181"/>
      <c r="G28" s="181"/>
      <c r="H28" s="181"/>
      <c r="I28" s="181"/>
      <c r="J28" s="182"/>
    </row>
    <row r="29" spans="1:10" ht="12.75" customHeight="1">
      <c r="A29" s="183"/>
      <c r="B29" s="181"/>
      <c r="C29" s="181"/>
      <c r="D29" s="181"/>
      <c r="E29" s="181"/>
      <c r="F29" s="181"/>
      <c r="G29" s="181"/>
      <c r="H29" s="181"/>
      <c r="I29" s="181"/>
      <c r="J29" s="182"/>
    </row>
    <row r="30" spans="1:10" ht="12.75" customHeight="1">
      <c r="A30" s="183"/>
      <c r="B30" s="181"/>
      <c r="C30" s="181"/>
      <c r="D30" s="181"/>
      <c r="E30" s="181"/>
      <c r="F30" s="181"/>
      <c r="G30" s="181"/>
      <c r="H30" s="181"/>
      <c r="I30" s="181"/>
      <c r="J30" s="182"/>
    </row>
    <row r="31" spans="1:10" ht="12.7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2.7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201"/>
      <c r="B38" s="188"/>
      <c r="C38" s="188"/>
      <c r="D38" s="188"/>
      <c r="E38" s="188"/>
      <c r="F38" s="188"/>
      <c r="G38" s="188"/>
      <c r="H38" s="188"/>
      <c r="I38" s="188"/>
      <c r="J38" s="189"/>
    </row>
    <row r="39" spans="1:10" ht="12.75" customHeight="1">
      <c r="A39" s="375" t="s">
        <v>220</v>
      </c>
      <c r="B39" s="177"/>
      <c r="C39" s="177"/>
      <c r="D39" s="177"/>
      <c r="E39" s="177"/>
      <c r="F39" s="177"/>
      <c r="G39" s="177"/>
      <c r="H39" s="177"/>
      <c r="I39" s="177"/>
      <c r="J39" s="178"/>
    </row>
    <row r="40" spans="1:10" ht="12.75" customHeight="1">
      <c r="A40" s="374" t="s">
        <v>221</v>
      </c>
      <c r="B40" s="188"/>
      <c r="C40" s="188"/>
      <c r="D40" s="188"/>
      <c r="E40" s="188"/>
      <c r="F40" s="188"/>
      <c r="G40" s="188"/>
      <c r="H40" s="188"/>
      <c r="I40" s="188"/>
      <c r="J40" s="189"/>
    </row>
    <row r="41" spans="1:10" ht="12.75" customHeight="1">
      <c r="A41" s="207"/>
      <c r="B41" s="177"/>
      <c r="C41" s="177"/>
      <c r="D41" s="177"/>
      <c r="E41" s="177"/>
      <c r="F41" s="177"/>
      <c r="G41" s="177"/>
      <c r="H41" s="177"/>
      <c r="I41" s="177"/>
      <c r="J41" s="178"/>
    </row>
    <row r="42" spans="1:10" ht="12.75" customHeight="1">
      <c r="A42" s="183"/>
      <c r="B42" s="181"/>
      <c r="C42" s="181"/>
      <c r="D42" s="181"/>
      <c r="E42" s="181"/>
      <c r="F42" s="181"/>
      <c r="G42" s="181"/>
      <c r="H42" s="181"/>
      <c r="I42" s="181"/>
      <c r="J42" s="182"/>
    </row>
    <row r="43" spans="1:10" ht="12.75" customHeight="1">
      <c r="A43" s="183"/>
      <c r="B43" s="181"/>
      <c r="C43" s="181"/>
      <c r="D43" s="181"/>
      <c r="E43" s="181"/>
      <c r="F43" s="181"/>
      <c r="G43" s="181"/>
      <c r="H43" s="181"/>
      <c r="I43" s="181"/>
      <c r="J43" s="182"/>
    </row>
    <row r="44" spans="1:10" ht="12.75" customHeight="1">
      <c r="A44" s="183"/>
      <c r="B44" s="181"/>
      <c r="C44" s="181"/>
      <c r="D44" s="181"/>
      <c r="E44" s="181"/>
      <c r="F44" s="181"/>
      <c r="G44" s="181"/>
      <c r="H44" s="181"/>
      <c r="I44" s="181"/>
      <c r="J44" s="182"/>
    </row>
    <row r="45" spans="1:10" ht="12.75" customHeight="1">
      <c r="A45" s="183"/>
      <c r="B45" s="181"/>
      <c r="C45" s="181"/>
      <c r="D45" s="181"/>
      <c r="E45" s="181"/>
      <c r="F45" s="181"/>
      <c r="G45" s="181"/>
      <c r="H45" s="181"/>
      <c r="I45" s="181"/>
      <c r="J45" s="182"/>
    </row>
    <row r="46" spans="1:10" ht="12.75" customHeight="1">
      <c r="A46" s="183"/>
      <c r="B46" s="181"/>
      <c r="C46" s="181"/>
      <c r="D46" s="181"/>
      <c r="E46" s="181"/>
      <c r="F46" s="181"/>
      <c r="G46" s="181"/>
      <c r="H46" s="181"/>
      <c r="I46" s="181"/>
      <c r="J46" s="182"/>
    </row>
    <row r="47" spans="1:10" ht="12.75" customHeight="1">
      <c r="A47" s="183"/>
      <c r="B47" s="181"/>
      <c r="C47" s="181"/>
      <c r="D47" s="181"/>
      <c r="E47" s="181"/>
      <c r="F47" s="181"/>
      <c r="G47" s="181"/>
      <c r="H47" s="181"/>
      <c r="I47" s="181"/>
      <c r="J47" s="182"/>
    </row>
    <row r="48" spans="1:10" ht="12.75" customHeight="1">
      <c r="A48" s="183"/>
      <c r="B48" s="181"/>
      <c r="C48" s="181"/>
      <c r="D48" s="181"/>
      <c r="E48" s="181"/>
      <c r="F48" s="181"/>
      <c r="G48" s="181"/>
      <c r="H48" s="181"/>
      <c r="I48" s="181"/>
      <c r="J48" s="182"/>
    </row>
    <row r="49" spans="1:10" ht="12.75" customHeight="1">
      <c r="A49" s="183"/>
      <c r="B49" s="181"/>
      <c r="C49" s="181"/>
      <c r="D49" s="181"/>
      <c r="E49" s="181"/>
      <c r="F49" s="181"/>
      <c r="G49" s="181"/>
      <c r="H49" s="181"/>
      <c r="I49" s="181"/>
      <c r="J49" s="182"/>
    </row>
    <row r="50" spans="1:10" ht="12.75" customHeight="1">
      <c r="A50" s="183"/>
      <c r="B50" s="181"/>
      <c r="C50" s="181"/>
      <c r="D50" s="181"/>
      <c r="E50" s="181"/>
      <c r="F50" s="181"/>
      <c r="G50" s="181"/>
      <c r="H50" s="181"/>
      <c r="I50" s="181"/>
      <c r="J50" s="182"/>
    </row>
    <row r="51" spans="1:10" ht="12.75" customHeight="1">
      <c r="A51" s="183"/>
      <c r="B51" s="181"/>
      <c r="C51" s="181"/>
      <c r="D51" s="181"/>
      <c r="E51" s="181"/>
      <c r="F51" s="181"/>
      <c r="G51" s="181"/>
      <c r="H51" s="181"/>
      <c r="I51" s="181"/>
      <c r="J51" s="182"/>
    </row>
    <row r="52" spans="1:10" ht="12.75" customHeight="1">
      <c r="A52" s="201"/>
      <c r="B52" s="188"/>
      <c r="C52" s="188"/>
      <c r="D52" s="188"/>
      <c r="E52" s="188"/>
      <c r="F52" s="188"/>
      <c r="G52" s="188"/>
      <c r="H52" s="188"/>
      <c r="I52" s="188"/>
      <c r="J52" s="189"/>
    </row>
    <row r="53" spans="1:10" ht="12.75" customHeight="1">
      <c r="A53" s="365" t="s">
        <v>209</v>
      </c>
      <c r="B53" s="181"/>
      <c r="C53" s="181"/>
      <c r="D53" s="181"/>
      <c r="E53" s="193" t="str">
        <f>County</f>
        <v>San Francisco</v>
      </c>
      <c r="F53" s="181"/>
      <c r="G53" s="181"/>
      <c r="H53" s="181"/>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367" t="s">
        <v>222</v>
      </c>
      <c r="B1" s="197"/>
      <c r="C1" s="197"/>
      <c r="D1" s="197"/>
      <c r="E1" s="197"/>
      <c r="F1" s="197"/>
      <c r="G1" s="197"/>
      <c r="H1" s="197"/>
      <c r="I1" s="197"/>
      <c r="J1" s="198"/>
    </row>
    <row r="2" spans="1:10" ht="12.75" customHeight="1">
      <c r="A2" s="370" t="s">
        <v>223</v>
      </c>
      <c r="B2" s="177"/>
      <c r="C2" s="177"/>
      <c r="D2" s="177"/>
      <c r="E2" s="177"/>
      <c r="F2" s="177"/>
      <c r="G2" s="177"/>
      <c r="H2" s="177"/>
      <c r="I2" s="177"/>
      <c r="J2" s="178"/>
    </row>
    <row r="3" spans="1:10" ht="12.75" customHeight="1">
      <c r="A3" s="371" t="s">
        <v>224</v>
      </c>
      <c r="B3" s="181"/>
      <c r="C3" s="181"/>
      <c r="D3" s="181"/>
      <c r="E3" s="181"/>
      <c r="F3" s="181"/>
      <c r="G3" s="181"/>
      <c r="H3" s="181"/>
      <c r="I3" s="181"/>
      <c r="J3" s="182"/>
    </row>
    <row r="4" spans="1:10" ht="12.75" customHeight="1">
      <c r="A4" s="371" t="s">
        <v>225</v>
      </c>
      <c r="B4" s="181"/>
      <c r="C4" s="181"/>
      <c r="D4" s="181"/>
      <c r="E4" s="181"/>
      <c r="F4" s="181"/>
      <c r="G4" s="181"/>
      <c r="H4" s="181"/>
      <c r="I4" s="181"/>
      <c r="J4" s="182"/>
    </row>
    <row r="5" spans="1:10" ht="12.75" customHeight="1">
      <c r="A5" s="371" t="s">
        <v>226</v>
      </c>
      <c r="B5" s="181"/>
      <c r="C5" s="181"/>
      <c r="D5" s="181"/>
      <c r="E5" s="181"/>
      <c r="F5" s="181"/>
      <c r="G5" s="181"/>
      <c r="H5" s="181"/>
      <c r="I5" s="181"/>
      <c r="J5" s="182"/>
    </row>
    <row r="6" spans="1:10" ht="12.75" customHeight="1">
      <c r="A6" s="61" t="s">
        <v>227</v>
      </c>
      <c r="B6" s="66"/>
      <c r="C6" s="66"/>
      <c r="D6" s="66"/>
      <c r="E6" s="66"/>
      <c r="F6" s="66"/>
      <c r="G6" s="66"/>
      <c r="H6" s="66"/>
      <c r="I6" s="67"/>
      <c r="J6" s="147"/>
    </row>
    <row r="7" spans="1:10" ht="12.75" customHeight="1">
      <c r="A7" s="68" t="s">
        <v>228</v>
      </c>
      <c r="B7" s="149"/>
      <c r="C7" s="149"/>
      <c r="D7" s="149"/>
      <c r="E7" s="149"/>
      <c r="F7" s="149"/>
      <c r="G7" s="149"/>
      <c r="H7" s="149"/>
      <c r="I7" s="69"/>
      <c r="J7" s="150"/>
    </row>
    <row r="8" spans="1:10" ht="12.75" customHeight="1">
      <c r="A8" s="374" t="s">
        <v>229</v>
      </c>
      <c r="B8" s="188"/>
      <c r="C8" s="188"/>
      <c r="D8" s="188"/>
      <c r="E8" s="188"/>
      <c r="F8" s="188"/>
      <c r="G8" s="188"/>
      <c r="H8" s="188"/>
      <c r="I8" s="188"/>
      <c r="J8" s="189"/>
    </row>
    <row r="9" spans="1:10" ht="12.75" customHeight="1">
      <c r="A9" s="207"/>
      <c r="B9" s="177"/>
      <c r="C9" s="177"/>
      <c r="D9" s="177"/>
      <c r="E9" s="177"/>
      <c r="F9" s="177"/>
      <c r="G9" s="177"/>
      <c r="H9" s="177"/>
      <c r="I9" s="177"/>
      <c r="J9" s="178"/>
    </row>
    <row r="10" spans="1:10" ht="12.75" customHeight="1">
      <c r="A10" s="183"/>
      <c r="B10" s="181"/>
      <c r="C10" s="181"/>
      <c r="D10" s="181"/>
      <c r="E10" s="181"/>
      <c r="F10" s="181"/>
      <c r="G10" s="181"/>
      <c r="H10" s="181"/>
      <c r="I10" s="181"/>
      <c r="J10" s="182"/>
    </row>
    <row r="11" spans="1:10" ht="12.75" customHeight="1">
      <c r="A11" s="183"/>
      <c r="B11" s="181"/>
      <c r="C11" s="181"/>
      <c r="D11" s="181"/>
      <c r="E11" s="181"/>
      <c r="F11" s="181"/>
      <c r="G11" s="181"/>
      <c r="H11" s="181"/>
      <c r="I11" s="181"/>
      <c r="J11" s="182"/>
    </row>
    <row r="12" spans="1:10" ht="12.75" customHeight="1">
      <c r="A12" s="183"/>
      <c r="B12" s="181"/>
      <c r="C12" s="181"/>
      <c r="D12" s="181"/>
      <c r="E12" s="181"/>
      <c r="F12" s="181"/>
      <c r="G12" s="181"/>
      <c r="H12" s="181"/>
      <c r="I12" s="181"/>
      <c r="J12" s="182"/>
    </row>
    <row r="13" spans="1:10" ht="12.75" customHeight="1">
      <c r="A13" s="183"/>
      <c r="B13" s="181"/>
      <c r="C13" s="181"/>
      <c r="D13" s="181"/>
      <c r="E13" s="181"/>
      <c r="F13" s="181"/>
      <c r="G13" s="181"/>
      <c r="H13" s="181"/>
      <c r="I13" s="181"/>
      <c r="J13" s="182"/>
    </row>
    <row r="14" spans="1:10" ht="12.75" customHeight="1">
      <c r="A14" s="183"/>
      <c r="B14" s="181"/>
      <c r="C14" s="181"/>
      <c r="D14" s="181"/>
      <c r="E14" s="181"/>
      <c r="F14" s="181"/>
      <c r="G14" s="181"/>
      <c r="H14" s="181"/>
      <c r="I14" s="181"/>
      <c r="J14" s="182"/>
    </row>
    <row r="15" spans="1:10" ht="12.75" customHeight="1">
      <c r="A15" s="183"/>
      <c r="B15" s="181"/>
      <c r="C15" s="181"/>
      <c r="D15" s="181"/>
      <c r="E15" s="181"/>
      <c r="F15" s="181"/>
      <c r="G15" s="181"/>
      <c r="H15" s="181"/>
      <c r="I15" s="181"/>
      <c r="J15" s="182"/>
    </row>
    <row r="16" spans="1:10" ht="12.75" customHeight="1">
      <c r="A16" s="183"/>
      <c r="B16" s="181"/>
      <c r="C16" s="181"/>
      <c r="D16" s="181"/>
      <c r="E16" s="181"/>
      <c r="F16" s="181"/>
      <c r="G16" s="181"/>
      <c r="H16" s="181"/>
      <c r="I16" s="181"/>
      <c r="J16" s="182"/>
    </row>
    <row r="17" spans="1:10" ht="12.75" customHeight="1">
      <c r="A17" s="183"/>
      <c r="B17" s="181"/>
      <c r="C17" s="181"/>
      <c r="D17" s="181"/>
      <c r="E17" s="181"/>
      <c r="F17" s="181"/>
      <c r="G17" s="181"/>
      <c r="H17" s="181"/>
      <c r="I17" s="181"/>
      <c r="J17" s="182"/>
    </row>
    <row r="18" spans="1:10" ht="12.75" customHeight="1">
      <c r="A18" s="183"/>
      <c r="B18" s="181"/>
      <c r="C18" s="181"/>
      <c r="D18" s="181"/>
      <c r="E18" s="181"/>
      <c r="F18" s="181"/>
      <c r="G18" s="181"/>
      <c r="H18" s="181"/>
      <c r="I18" s="181"/>
      <c r="J18" s="182"/>
    </row>
    <row r="19" spans="1:10" ht="12.75" customHeight="1">
      <c r="A19" s="183"/>
      <c r="B19" s="181"/>
      <c r="C19" s="181"/>
      <c r="D19" s="181"/>
      <c r="E19" s="181"/>
      <c r="F19" s="181"/>
      <c r="G19" s="181"/>
      <c r="H19" s="181"/>
      <c r="I19" s="181"/>
      <c r="J19" s="182"/>
    </row>
    <row r="20" spans="1:10" ht="12.75" customHeight="1">
      <c r="A20" s="183"/>
      <c r="B20" s="181"/>
      <c r="C20" s="181"/>
      <c r="D20" s="181"/>
      <c r="E20" s="181"/>
      <c r="F20" s="181"/>
      <c r="G20" s="181"/>
      <c r="H20" s="181"/>
      <c r="I20" s="181"/>
      <c r="J20" s="182"/>
    </row>
    <row r="21" spans="1:10" ht="12.75" customHeight="1">
      <c r="A21" s="183"/>
      <c r="B21" s="181"/>
      <c r="C21" s="181"/>
      <c r="D21" s="181"/>
      <c r="E21" s="181"/>
      <c r="F21" s="181"/>
      <c r="G21" s="181"/>
      <c r="H21" s="181"/>
      <c r="I21" s="181"/>
      <c r="J21" s="182"/>
    </row>
    <row r="22" spans="1:10" ht="12.75" customHeight="1">
      <c r="A22" s="183"/>
      <c r="B22" s="181"/>
      <c r="C22" s="181"/>
      <c r="D22" s="181"/>
      <c r="E22" s="181"/>
      <c r="F22" s="181"/>
      <c r="G22" s="181"/>
      <c r="H22" s="181"/>
      <c r="I22" s="181"/>
      <c r="J22" s="182"/>
    </row>
    <row r="23" spans="1:10" ht="12.75" customHeight="1">
      <c r="A23" s="183"/>
      <c r="B23" s="181"/>
      <c r="C23" s="181"/>
      <c r="D23" s="181"/>
      <c r="E23" s="181"/>
      <c r="F23" s="181"/>
      <c r="G23" s="181"/>
      <c r="H23" s="181"/>
      <c r="I23" s="181"/>
      <c r="J23" s="182"/>
    </row>
    <row r="24" spans="1:10" ht="12.75" customHeight="1">
      <c r="A24" s="201"/>
      <c r="B24" s="188"/>
      <c r="C24" s="188"/>
      <c r="D24" s="188"/>
      <c r="E24" s="188"/>
      <c r="F24" s="188"/>
      <c r="G24" s="188"/>
      <c r="H24" s="188"/>
      <c r="I24" s="188"/>
      <c r="J24" s="189"/>
    </row>
    <row r="25" spans="1:10" ht="12.75" customHeight="1">
      <c r="A25" s="376" t="s">
        <v>230</v>
      </c>
      <c r="B25" s="177"/>
      <c r="C25" s="177"/>
      <c r="D25" s="177"/>
      <c r="E25" s="177"/>
      <c r="F25" s="177"/>
      <c r="G25" s="177"/>
      <c r="H25" s="177"/>
      <c r="I25" s="177"/>
      <c r="J25" s="178"/>
    </row>
    <row r="26" spans="1:10" ht="12.75" customHeight="1">
      <c r="A26" s="377" t="s">
        <v>231</v>
      </c>
      <c r="B26" s="177"/>
      <c r="C26" s="177"/>
      <c r="D26" s="177"/>
      <c r="E26" s="177"/>
      <c r="F26" s="177"/>
      <c r="G26" s="177"/>
      <c r="H26" s="177"/>
      <c r="I26" s="177"/>
      <c r="J26" s="178"/>
    </row>
    <row r="27" spans="1:10" ht="12.75" customHeight="1">
      <c r="A27" s="183"/>
      <c r="B27" s="181"/>
      <c r="C27" s="181"/>
      <c r="D27" s="181"/>
      <c r="E27" s="181"/>
      <c r="F27" s="181"/>
      <c r="G27" s="181"/>
      <c r="H27" s="181"/>
      <c r="I27" s="181"/>
      <c r="J27" s="182"/>
    </row>
    <row r="28" spans="1:10" ht="12.75" customHeight="1">
      <c r="A28" s="201"/>
      <c r="B28" s="188"/>
      <c r="C28" s="188"/>
      <c r="D28" s="188"/>
      <c r="E28" s="188"/>
      <c r="F28" s="188"/>
      <c r="G28" s="188"/>
      <c r="H28" s="188"/>
      <c r="I28" s="188"/>
      <c r="J28" s="189"/>
    </row>
    <row r="29" spans="1:10" ht="12.75" customHeight="1">
      <c r="A29" s="207"/>
      <c r="B29" s="177"/>
      <c r="C29" s="177"/>
      <c r="D29" s="177"/>
      <c r="E29" s="177"/>
      <c r="F29" s="177"/>
      <c r="G29" s="177"/>
      <c r="H29" s="177"/>
      <c r="I29" s="177"/>
      <c r="J29" s="178"/>
    </row>
    <row r="30" spans="1:10" ht="12.75" customHeight="1">
      <c r="A30" s="183"/>
      <c r="B30" s="181"/>
      <c r="C30" s="181"/>
      <c r="D30" s="181"/>
      <c r="E30" s="181"/>
      <c r="F30" s="181"/>
      <c r="G30" s="181"/>
      <c r="H30" s="181"/>
      <c r="I30" s="181"/>
      <c r="J30" s="182"/>
    </row>
    <row r="31" spans="1:10" ht="12.7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2.7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183"/>
      <c r="B38" s="181"/>
      <c r="C38" s="181"/>
      <c r="D38" s="181"/>
      <c r="E38" s="181"/>
      <c r="F38" s="181"/>
      <c r="G38" s="181"/>
      <c r="H38" s="181"/>
      <c r="I38" s="181"/>
      <c r="J38" s="182"/>
    </row>
    <row r="39" spans="1:10" ht="12.75" customHeight="1">
      <c r="A39" s="183"/>
      <c r="B39" s="181"/>
      <c r="C39" s="181"/>
      <c r="D39" s="181"/>
      <c r="E39" s="181"/>
      <c r="F39" s="181"/>
      <c r="G39" s="181"/>
      <c r="H39" s="181"/>
      <c r="I39" s="181"/>
      <c r="J39" s="182"/>
    </row>
    <row r="40" spans="1:10" ht="12.75" customHeight="1">
      <c r="A40" s="183"/>
      <c r="B40" s="181"/>
      <c r="C40" s="181"/>
      <c r="D40" s="181"/>
      <c r="E40" s="181"/>
      <c r="F40" s="181"/>
      <c r="G40" s="181"/>
      <c r="H40" s="181"/>
      <c r="I40" s="181"/>
      <c r="J40" s="182"/>
    </row>
    <row r="41" spans="1:10" ht="12.75" customHeight="1">
      <c r="A41" s="183"/>
      <c r="B41" s="181"/>
      <c r="C41" s="181"/>
      <c r="D41" s="181"/>
      <c r="E41" s="181"/>
      <c r="F41" s="181"/>
      <c r="G41" s="181"/>
      <c r="H41" s="181"/>
      <c r="I41" s="181"/>
      <c r="J41" s="182"/>
    </row>
    <row r="42" spans="1:10" ht="12.75" customHeight="1">
      <c r="A42" s="183"/>
      <c r="B42" s="181"/>
      <c r="C42" s="181"/>
      <c r="D42" s="181"/>
      <c r="E42" s="181"/>
      <c r="F42" s="181"/>
      <c r="G42" s="181"/>
      <c r="H42" s="181"/>
      <c r="I42" s="181"/>
      <c r="J42" s="182"/>
    </row>
    <row r="43" spans="1:10" ht="12.75" customHeight="1">
      <c r="A43" s="201"/>
      <c r="B43" s="188"/>
      <c r="C43" s="188"/>
      <c r="D43" s="188"/>
      <c r="E43" s="188"/>
      <c r="F43" s="188"/>
      <c r="G43" s="188"/>
      <c r="H43" s="188"/>
      <c r="I43" s="188"/>
      <c r="J43" s="189"/>
    </row>
    <row r="44" spans="1:10" ht="12.75" customHeight="1">
      <c r="A44" s="77"/>
      <c r="B44" s="77"/>
      <c r="C44" s="77"/>
      <c r="D44" s="77"/>
      <c r="E44" s="77"/>
      <c r="F44" s="77"/>
      <c r="G44" s="77"/>
      <c r="H44" s="77"/>
      <c r="I44" s="77"/>
      <c r="J44" s="77"/>
    </row>
    <row r="45" spans="1:10" ht="12.75" customHeight="1">
      <c r="A45" s="77"/>
      <c r="B45" s="77"/>
      <c r="C45" s="77"/>
      <c r="D45" s="77"/>
      <c r="E45" s="77"/>
      <c r="F45" s="77"/>
      <c r="G45" s="77"/>
      <c r="H45" s="77"/>
      <c r="I45" s="77"/>
      <c r="J45" s="77"/>
    </row>
    <row r="46" spans="1:10" ht="12.75" customHeight="1">
      <c r="A46" s="77"/>
      <c r="B46" s="77"/>
      <c r="C46" s="77"/>
      <c r="D46" s="77"/>
      <c r="E46" s="77"/>
      <c r="F46" s="77"/>
      <c r="G46" s="77"/>
      <c r="H46" s="77"/>
      <c r="I46" s="77"/>
      <c r="J46" s="77"/>
    </row>
    <row r="47" spans="1:10" ht="12.75" customHeight="1">
      <c r="A47" s="77"/>
      <c r="B47" s="77"/>
      <c r="C47" s="77"/>
      <c r="D47" s="77"/>
      <c r="E47" s="77"/>
      <c r="F47" s="77"/>
      <c r="G47" s="77"/>
      <c r="H47" s="77"/>
      <c r="I47" s="77"/>
      <c r="J47" s="77"/>
    </row>
    <row r="48" spans="1:10" ht="12.75" customHeight="1">
      <c r="A48" s="77"/>
      <c r="B48" s="77"/>
      <c r="C48" s="77"/>
      <c r="D48" s="77"/>
      <c r="E48" s="77"/>
      <c r="F48" s="77"/>
      <c r="G48" s="77"/>
      <c r="H48" s="77"/>
      <c r="I48" s="77"/>
      <c r="J48" s="77"/>
    </row>
    <row r="49" spans="1:10" ht="12.75" customHeight="1">
      <c r="A49" s="77"/>
      <c r="B49" s="77"/>
      <c r="C49" s="77"/>
      <c r="D49" s="77"/>
      <c r="E49" s="77"/>
      <c r="F49" s="77"/>
      <c r="G49" s="77"/>
      <c r="H49" s="77"/>
      <c r="I49" s="77"/>
      <c r="J49" s="77"/>
    </row>
    <row r="50" spans="1:10" ht="12.75" customHeight="1">
      <c r="A50" s="77"/>
      <c r="B50" s="77"/>
      <c r="C50" s="77"/>
      <c r="D50" s="77"/>
      <c r="E50" s="77"/>
      <c r="F50" s="77"/>
      <c r="G50" s="77"/>
      <c r="H50" s="77"/>
      <c r="I50" s="77"/>
      <c r="J50" s="77"/>
    </row>
    <row r="51" spans="1:10" ht="12.75" customHeight="1">
      <c r="A51" s="77"/>
      <c r="B51" s="77"/>
      <c r="C51" s="77"/>
      <c r="D51" s="77"/>
      <c r="E51" s="77"/>
      <c r="F51" s="77"/>
      <c r="G51" s="77"/>
      <c r="H51" s="77"/>
      <c r="I51" s="77"/>
      <c r="J51" s="77"/>
    </row>
    <row r="52" spans="1:10" ht="12.75" customHeight="1"/>
    <row r="53" spans="1:10" ht="12.75" customHeight="1">
      <c r="A53" s="193" t="s">
        <v>232</v>
      </c>
      <c r="B53" s="181"/>
      <c r="C53" s="181"/>
      <c r="D53" s="181"/>
      <c r="E53" s="181"/>
      <c r="F53" s="181"/>
      <c r="G53" s="181"/>
      <c r="H53" s="181"/>
      <c r="I53" s="181"/>
      <c r="J53" s="181"/>
    </row>
    <row r="54" spans="1:10" ht="12.75" customHeight="1">
      <c r="A54" s="378" t="s">
        <v>233</v>
      </c>
      <c r="B54" s="181"/>
      <c r="C54" s="181"/>
      <c r="D54" s="181"/>
      <c r="E54" s="181"/>
      <c r="F54" s="181"/>
      <c r="G54" s="181"/>
      <c r="H54" s="181"/>
      <c r="I54" s="181"/>
      <c r="J54" s="181"/>
    </row>
    <row r="55" spans="1:10" ht="12.75" customHeight="1"/>
    <row r="56" spans="1:10" ht="12.75" customHeight="1">
      <c r="A56" s="365" t="s">
        <v>209</v>
      </c>
      <c r="B56" s="181"/>
      <c r="C56" s="181"/>
      <c r="D56" s="181"/>
      <c r="E56" s="193" t="str">
        <f>County</f>
        <v>San Francisco</v>
      </c>
      <c r="F56" s="181"/>
      <c r="G56" s="181"/>
      <c r="H56" s="181"/>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70" t="s">
        <v>234</v>
      </c>
      <c r="B1" s="78" t="str">
        <f>County</f>
        <v>San Francisco</v>
      </c>
    </row>
    <row r="2" spans="1:2" ht="12.75" customHeight="1">
      <c r="A2" s="70" t="s">
        <v>235</v>
      </c>
      <c r="B2" s="71">
        <f>Reportdate</f>
        <v>45560</v>
      </c>
    </row>
    <row r="3" spans="1:2" ht="12.75" customHeight="1">
      <c r="A3" s="70" t="s">
        <v>236</v>
      </c>
      <c r="B3" s="5" t="e">
        <f>Chief</f>
        <v>#REF!</v>
      </c>
    </row>
    <row r="4" spans="1:2" ht="12.75" customHeight="1">
      <c r="A4" s="70" t="s">
        <v>237</v>
      </c>
      <c r="B4" s="70" t="e">
        <f>Chiefphone2</f>
        <v>#REF!</v>
      </c>
    </row>
    <row r="5" spans="1:2" ht="12.75" customHeight="1">
      <c r="A5" s="70" t="s">
        <v>238</v>
      </c>
      <c r="B5" s="70" t="e">
        <f>Address</f>
        <v>#REF!</v>
      </c>
    </row>
    <row r="6" spans="1:2" ht="12.75" customHeight="1">
      <c r="A6" s="70" t="s">
        <v>239</v>
      </c>
      <c r="B6" s="70" t="e">
        <f>City</f>
        <v>#REF!</v>
      </c>
    </row>
    <row r="7" spans="1:2" ht="12.75" customHeight="1">
      <c r="A7" s="70" t="s">
        <v>240</v>
      </c>
      <c r="B7" s="72" t="e">
        <f>ZIP</f>
        <v>#REF!</v>
      </c>
    </row>
    <row r="8" spans="1:2" ht="12.75" customHeight="1">
      <c r="A8" s="70" t="s">
        <v>241</v>
      </c>
      <c r="B8" s="70" t="e">
        <f>Chiefemail2</f>
        <v>#REF!</v>
      </c>
    </row>
    <row r="9" spans="1:2" ht="12.75" customHeight="1">
      <c r="A9" s="70" t="s">
        <v>242</v>
      </c>
      <c r="B9" s="70" t="str">
        <f>primcontact</f>
        <v>Maria McKee</v>
      </c>
    </row>
    <row r="10" spans="1:2" ht="12.75" customHeight="1">
      <c r="A10" s="70" t="s">
        <v>243</v>
      </c>
      <c r="B10" s="70" t="str">
        <f>primarytitle</f>
        <v>Director of Research &amp; Planning</v>
      </c>
    </row>
    <row r="11" spans="1:2" ht="12.75" customHeight="1">
      <c r="A11" s="70" t="s">
        <v>244</v>
      </c>
      <c r="B11" s="70" t="str">
        <f>primphone</f>
        <v>415 635 6979</v>
      </c>
    </row>
    <row r="12" spans="1:2" ht="12.75" customHeight="1">
      <c r="A12" s="70" t="s">
        <v>245</v>
      </c>
      <c r="B12" s="70" t="str">
        <f>preemail</f>
        <v>maria.mckee@sfgov.org</v>
      </c>
    </row>
    <row r="13" spans="1:2" ht="12.75" customHeight="1">
      <c r="A13" s="70" t="s">
        <v>246</v>
      </c>
      <c r="B13" s="73" t="str">
        <f>seccontact</f>
        <v>Veronica Martinez</v>
      </c>
    </row>
    <row r="14" spans="1:2" ht="12.75" customHeight="1">
      <c r="A14" s="70" t="s">
        <v>247</v>
      </c>
      <c r="B14" s="73" t="str">
        <f>seccontitle</f>
        <v>Deputy Director of Administrative Services</v>
      </c>
    </row>
    <row r="15" spans="1:2" ht="12.75" customHeight="1">
      <c r="A15" s="70" t="s">
        <v>248</v>
      </c>
      <c r="B15" s="70" t="str">
        <f>secphone</f>
        <v xml:space="preserve">415-680-8451 </v>
      </c>
    </row>
    <row r="16" spans="1:2" ht="12.75" customHeight="1">
      <c r="A16" s="70" t="s">
        <v>249</v>
      </c>
      <c r="B16" s="70" t="str">
        <f>secemail</f>
        <v>veronica.martinez@sfgov.org</v>
      </c>
    </row>
    <row r="17" spans="1:2" ht="12.75" customHeight="1">
      <c r="A17" s="70" t="s">
        <v>250</v>
      </c>
      <c r="B17" s="70" t="e">
        <f>t1yobgtot+t2yobgtot+t3yobgtot+t4yobgtot+t5yobgtot+t6yobgtot+t7yobgtot+t8yobgtot+t9yobgtot+t10yobgtot</f>
        <v>#REF!</v>
      </c>
    </row>
    <row r="18" spans="1:2" ht="12.75" customHeight="1">
      <c r="A18" s="70" t="s">
        <v>251</v>
      </c>
      <c r="B18" s="70" t="e">
        <f>t1jjcpatot+t2jjcpatot+t3jjcpatot+t4jjcpatot+t5jjcpatot+t6jjcpatot+t7jjcpatot+t8jjcpatot+t9jjcpatot+t10jjcpatot</f>
        <v>#REF!</v>
      </c>
    </row>
    <row r="19" spans="1:2" ht="12.75" customHeight="1">
      <c r="A19" s="70" t="s">
        <v>252</v>
      </c>
      <c r="B19" s="70" t="e">
        <f>t1othertot+t2othertot+t3othertot+t4othertot+t5othertot+t6othertot+t7othertot+t8othertot+t9othertot+t10othertot</f>
        <v>#REF!</v>
      </c>
    </row>
    <row r="20" spans="1:2" ht="12.75" customHeight="1">
      <c r="A20" s="70" t="s">
        <v>253</v>
      </c>
      <c r="B20" s="70" t="e">
        <f>t1casecount+t2casecount+t3casecount+t4casecount+t5casecount+t6casecount+t7casecount+t8casecount+t9casecount+t10casecount</f>
        <v>#REF!</v>
      </c>
    </row>
    <row r="21" spans="1:2" ht="12.75" customHeight="1">
      <c r="A21" s="70" t="s">
        <v>254</v>
      </c>
      <c r="B21" s="70" t="e">
        <f>Numecodet1</f>
        <v>#REF!</v>
      </c>
    </row>
    <row r="22" spans="1:2" ht="12.75" customHeight="1">
      <c r="A22" s="70" t="s">
        <v>255</v>
      </c>
      <c r="B22" s="70" t="e">
        <f>Numealtt1</f>
        <v>#REF!</v>
      </c>
    </row>
    <row r="23" spans="1:2" ht="12.75" customHeight="1">
      <c r="A23" s="70" t="s">
        <v>256</v>
      </c>
      <c r="B23" s="74">
        <f>t1yobgsal</f>
        <v>0</v>
      </c>
    </row>
    <row r="24" spans="1:2" ht="12.75" customHeight="1">
      <c r="A24" s="70" t="s">
        <v>257</v>
      </c>
      <c r="B24" s="74">
        <f>t1yobgserv</f>
        <v>0</v>
      </c>
    </row>
    <row r="25" spans="1:2" ht="12.75" customHeight="1">
      <c r="A25" s="70" t="s">
        <v>258</v>
      </c>
      <c r="B25" s="74">
        <f>t1yobgprof</f>
        <v>0</v>
      </c>
    </row>
    <row r="26" spans="1:2" ht="12.75" customHeight="1">
      <c r="A26" s="70" t="s">
        <v>259</v>
      </c>
      <c r="B26" s="74">
        <f>t1yobgcbo</f>
        <v>0</v>
      </c>
    </row>
    <row r="27" spans="1:2" ht="12.75" customHeight="1">
      <c r="A27" s="70" t="s">
        <v>260</v>
      </c>
      <c r="B27" s="74">
        <f>t1yobgequip</f>
        <v>0</v>
      </c>
    </row>
    <row r="28" spans="1:2" ht="12.75" customHeight="1">
      <c r="A28" s="70" t="s">
        <v>261</v>
      </c>
      <c r="B28" s="74">
        <f>t1yobgadmin</f>
        <v>0</v>
      </c>
    </row>
    <row r="29" spans="1:2" ht="12.75" customHeight="1">
      <c r="A29" s="70" t="s">
        <v>262</v>
      </c>
      <c r="B29" s="74">
        <f>t1yobgothr1</f>
        <v>0</v>
      </c>
    </row>
    <row r="30" spans="1:2" ht="12.75" customHeight="1">
      <c r="A30" s="70" t="s">
        <v>263</v>
      </c>
      <c r="B30" s="74">
        <f>t1yobgothr2</f>
        <v>0</v>
      </c>
    </row>
    <row r="31" spans="1:2" ht="12.75" customHeight="1">
      <c r="A31" s="70" t="s">
        <v>264</v>
      </c>
      <c r="B31" s="74">
        <f>t1yobgothr3</f>
        <v>0</v>
      </c>
    </row>
    <row r="32" spans="1:2" ht="12.75" customHeight="1">
      <c r="A32" s="70" t="s">
        <v>265</v>
      </c>
      <c r="B32" s="74">
        <f>t1yobgtot</f>
        <v>0</v>
      </c>
    </row>
    <row r="33" spans="1:2" ht="12.75" customHeight="1">
      <c r="A33" s="70" t="s">
        <v>266</v>
      </c>
      <c r="B33" s="74">
        <f>t1jjcpasal</f>
        <v>132803.155</v>
      </c>
    </row>
    <row r="34" spans="1:2" ht="12.75" customHeight="1">
      <c r="A34" s="70" t="s">
        <v>267</v>
      </c>
      <c r="B34" s="74">
        <f>t1jjcpaserv</f>
        <v>0</v>
      </c>
    </row>
    <row r="35" spans="1:2" ht="12.75" customHeight="1">
      <c r="A35" s="70" t="s">
        <v>268</v>
      </c>
      <c r="B35" s="74">
        <f>t1jjcpaprof</f>
        <v>0</v>
      </c>
    </row>
    <row r="36" spans="1:2" ht="12.75" customHeight="1">
      <c r="A36" s="70" t="s">
        <v>269</v>
      </c>
      <c r="B36" s="74">
        <f>t1jjcpacbo</f>
        <v>1695205.05</v>
      </c>
    </row>
    <row r="37" spans="1:2" ht="12.75" customHeight="1">
      <c r="A37" s="70" t="s">
        <v>270</v>
      </c>
      <c r="B37" s="74">
        <f>t1jjcpaequip</f>
        <v>0</v>
      </c>
    </row>
    <row r="38" spans="1:2" ht="12.75" customHeight="1">
      <c r="A38" s="70" t="s">
        <v>271</v>
      </c>
      <c r="B38" s="74">
        <f>t1jjcpaadmin</f>
        <v>0</v>
      </c>
    </row>
    <row r="39" spans="1:2" ht="12.75" customHeight="1">
      <c r="A39" s="70" t="s">
        <v>272</v>
      </c>
      <c r="B39" s="74">
        <f>t1jjcpaothr1</f>
        <v>0</v>
      </c>
    </row>
    <row r="40" spans="1:2" ht="12.75" customHeight="1">
      <c r="A40" s="70" t="s">
        <v>273</v>
      </c>
      <c r="B40" s="74">
        <f>t1jjcpaothr2</f>
        <v>0</v>
      </c>
    </row>
    <row r="41" spans="1:2" ht="12.75" customHeight="1">
      <c r="A41" s="70" t="s">
        <v>274</v>
      </c>
      <c r="B41" s="74">
        <f>t1jjcpaothr3</f>
        <v>0</v>
      </c>
    </row>
    <row r="42" spans="1:2" ht="12.75" customHeight="1">
      <c r="A42" s="70" t="s">
        <v>275</v>
      </c>
      <c r="B42" s="74">
        <f>t1jjcpatot</f>
        <v>1828008.2050000001</v>
      </c>
    </row>
    <row r="43" spans="1:2" ht="12.75" customHeight="1">
      <c r="A43" s="70" t="s">
        <v>276</v>
      </c>
      <c r="B43" s="74">
        <f>t1othersal</f>
        <v>0</v>
      </c>
    </row>
    <row r="44" spans="1:2" ht="12.75" customHeight="1">
      <c r="A44" s="70" t="s">
        <v>277</v>
      </c>
      <c r="B44" s="74">
        <f>t1otherserv</f>
        <v>0</v>
      </c>
    </row>
    <row r="45" spans="1:2" ht="12.75" customHeight="1">
      <c r="A45" s="70" t="s">
        <v>278</v>
      </c>
      <c r="B45" s="74">
        <f>t1otherprof</f>
        <v>0</v>
      </c>
    </row>
    <row r="46" spans="1:2" ht="12.75" customHeight="1">
      <c r="A46" s="70" t="s">
        <v>279</v>
      </c>
      <c r="B46" s="74">
        <f>t1othercbo</f>
        <v>0</v>
      </c>
    </row>
    <row r="47" spans="1:2" ht="12.75" customHeight="1">
      <c r="A47" s="70" t="s">
        <v>280</v>
      </c>
      <c r="B47" s="74">
        <f>t1otherequip</f>
        <v>0</v>
      </c>
    </row>
    <row r="48" spans="1:2" ht="12.75" customHeight="1">
      <c r="A48" s="70" t="s">
        <v>281</v>
      </c>
      <c r="B48" s="74">
        <f>t1otheradmin</f>
        <v>0</v>
      </c>
    </row>
    <row r="49" spans="1:2" ht="12.75" customHeight="1">
      <c r="A49" s="70" t="s">
        <v>282</v>
      </c>
      <c r="B49" s="74">
        <f>t1otherothr1</f>
        <v>0</v>
      </c>
    </row>
    <row r="50" spans="1:2" ht="12.75" customHeight="1">
      <c r="A50" s="70" t="s">
        <v>283</v>
      </c>
      <c r="B50" s="74">
        <f>t1otherothr2</f>
        <v>0</v>
      </c>
    </row>
    <row r="51" spans="1:2" ht="12.75" customHeight="1">
      <c r="A51" s="70" t="s">
        <v>284</v>
      </c>
      <c r="B51" s="74">
        <f>t1otherothr3</f>
        <v>0</v>
      </c>
    </row>
    <row r="52" spans="1:2" ht="12.75" customHeight="1">
      <c r="A52" s="70" t="s">
        <v>285</v>
      </c>
      <c r="B52" s="74">
        <f>t1othertot</f>
        <v>0</v>
      </c>
    </row>
    <row r="53" spans="1:2" ht="12.75" customHeight="1">
      <c r="A53" s="70" t="s">
        <v>286</v>
      </c>
      <c r="B53" s="72" t="e">
        <f>t1casecount</f>
        <v>#REF!</v>
      </c>
    </row>
    <row r="54" spans="1:2" ht="12.75" customHeight="1">
      <c r="A54" s="70" t="s">
        <v>287</v>
      </c>
      <c r="B54" s="75" t="e">
        <f>t1yobgpercap</f>
        <v>#REF!</v>
      </c>
    </row>
    <row r="55" spans="1:2" ht="12.75" customHeight="1">
      <c r="A55" s="70" t="s">
        <v>288</v>
      </c>
      <c r="B55" s="75" t="e">
        <f>t1totpercap</f>
        <v>#REF!</v>
      </c>
    </row>
    <row r="56" spans="1:2" ht="12.75" customHeight="1">
      <c r="A56" s="70" t="s">
        <v>289</v>
      </c>
      <c r="B56" s="72" t="e">
        <f>t1youth1</f>
        <v>#REF!</v>
      </c>
    </row>
    <row r="57" spans="1:2" ht="12.75" customHeight="1">
      <c r="A57" s="70" t="s">
        <v>290</v>
      </c>
      <c r="B57" s="72" t="e">
        <f>t1youth2</f>
        <v>#REF!</v>
      </c>
    </row>
    <row r="58" spans="1:2" ht="12.75" customHeight="1">
      <c r="A58" s="70" t="s">
        <v>291</v>
      </c>
      <c r="B58" s="72" t="e">
        <f>t1youth3</f>
        <v>#REF!</v>
      </c>
    </row>
    <row r="59" spans="1:2" ht="12.75" customHeight="1">
      <c r="A59" s="70" t="s">
        <v>292</v>
      </c>
      <c r="B59" s="72" t="e">
        <f>t1youth4</f>
        <v>#REF!</v>
      </c>
    </row>
    <row r="60" spans="1:2" ht="12.75" customHeight="1">
      <c r="A60" s="70" t="s">
        <v>293</v>
      </c>
      <c r="B60" s="72" t="e">
        <f>t1youth5</f>
        <v>#REF!</v>
      </c>
    </row>
    <row r="61" spans="1:2" ht="12.75" customHeight="1">
      <c r="A61" s="70" t="s">
        <v>294</v>
      </c>
      <c r="B61" s="72" t="e">
        <f>t1youth6</f>
        <v>#REF!</v>
      </c>
    </row>
    <row r="62" spans="1:2" ht="12.75" customHeight="1">
      <c r="A62" s="70" t="s">
        <v>295</v>
      </c>
      <c r="B62" s="70" t="e">
        <f>Numecodet2</f>
        <v>#REF!</v>
      </c>
    </row>
    <row r="63" spans="1:2" ht="12.75" customHeight="1">
      <c r="A63" s="70" t="s">
        <v>296</v>
      </c>
      <c r="B63" s="70" t="e">
        <f>Numealtt2</f>
        <v>#REF!</v>
      </c>
    </row>
    <row r="64" spans="1:2" ht="12.75" customHeight="1">
      <c r="A64" s="70" t="s">
        <v>297</v>
      </c>
      <c r="B64" s="74" t="e">
        <f>t2yobgsal</f>
        <v>#REF!</v>
      </c>
    </row>
    <row r="65" spans="1:2" ht="12.75" customHeight="1">
      <c r="A65" s="70" t="s">
        <v>298</v>
      </c>
      <c r="B65" s="74" t="e">
        <f>t2yobgserv</f>
        <v>#REF!</v>
      </c>
    </row>
    <row r="66" spans="1:2" ht="12.75" customHeight="1">
      <c r="A66" s="70" t="s">
        <v>299</v>
      </c>
      <c r="B66" s="74" t="e">
        <f>t2yobgprof</f>
        <v>#REF!</v>
      </c>
    </row>
    <row r="67" spans="1:2" ht="12.75" customHeight="1">
      <c r="A67" s="70" t="s">
        <v>300</v>
      </c>
      <c r="B67" s="74" t="e">
        <f>t2yobgcbo</f>
        <v>#REF!</v>
      </c>
    </row>
    <row r="68" spans="1:2" ht="12.75" customHeight="1">
      <c r="A68" s="70" t="s">
        <v>301</v>
      </c>
      <c r="B68" s="74" t="e">
        <f>t2yobgequip</f>
        <v>#REF!</v>
      </c>
    </row>
    <row r="69" spans="1:2" ht="12.75" customHeight="1">
      <c r="A69" s="70" t="s">
        <v>302</v>
      </c>
      <c r="B69" s="74" t="e">
        <f>t2yobgadmin</f>
        <v>#REF!</v>
      </c>
    </row>
    <row r="70" spans="1:2" ht="12.75" customHeight="1">
      <c r="A70" s="70" t="s">
        <v>303</v>
      </c>
      <c r="B70" s="74" t="e">
        <f>t2yobgothr1</f>
        <v>#REF!</v>
      </c>
    </row>
    <row r="71" spans="1:2" ht="12.75" customHeight="1">
      <c r="A71" s="70" t="s">
        <v>304</v>
      </c>
      <c r="B71" s="74" t="e">
        <f>t2yobgothr2</f>
        <v>#REF!</v>
      </c>
    </row>
    <row r="72" spans="1:2" ht="12.75" customHeight="1">
      <c r="A72" s="70" t="s">
        <v>305</v>
      </c>
      <c r="B72" s="74" t="e">
        <f>t2yobgothr3</f>
        <v>#REF!</v>
      </c>
    </row>
    <row r="73" spans="1:2" ht="12.75" customHeight="1">
      <c r="A73" s="70" t="s">
        <v>306</v>
      </c>
      <c r="B73" s="74" t="e">
        <f>t2yobgtot</f>
        <v>#REF!</v>
      </c>
    </row>
    <row r="74" spans="1:2" ht="12.75" customHeight="1">
      <c r="A74" s="70" t="s">
        <v>307</v>
      </c>
      <c r="B74" s="74" t="e">
        <f>t2jjcpasal</f>
        <v>#REF!</v>
      </c>
    </row>
    <row r="75" spans="1:2" ht="12.75" customHeight="1">
      <c r="A75" s="70" t="s">
        <v>308</v>
      </c>
      <c r="B75" s="74" t="e">
        <f>t2jjcpaserv</f>
        <v>#REF!</v>
      </c>
    </row>
    <row r="76" spans="1:2" ht="12.75" customHeight="1">
      <c r="A76" s="70" t="s">
        <v>309</v>
      </c>
      <c r="B76" s="74" t="e">
        <f>t2jjcpaprof</f>
        <v>#REF!</v>
      </c>
    </row>
    <row r="77" spans="1:2" ht="12.75" customHeight="1">
      <c r="A77" s="70" t="s">
        <v>310</v>
      </c>
      <c r="B77" s="74" t="e">
        <f>t2jjcpacbo</f>
        <v>#REF!</v>
      </c>
    </row>
    <row r="78" spans="1:2" ht="12.75" customHeight="1">
      <c r="A78" s="70" t="s">
        <v>311</v>
      </c>
      <c r="B78" s="74" t="e">
        <f>t2jjcpaequip</f>
        <v>#REF!</v>
      </c>
    </row>
    <row r="79" spans="1:2" ht="12.75" customHeight="1">
      <c r="A79" s="70" t="s">
        <v>312</v>
      </c>
      <c r="B79" s="74" t="e">
        <f>t2jjcpaadmin</f>
        <v>#REF!</v>
      </c>
    </row>
    <row r="80" spans="1:2" ht="12.75" customHeight="1">
      <c r="A80" s="70" t="s">
        <v>313</v>
      </c>
      <c r="B80" s="74" t="e">
        <f>t2jjcpaothr1</f>
        <v>#REF!</v>
      </c>
    </row>
    <row r="81" spans="1:2" ht="12.75" customHeight="1">
      <c r="A81" s="70" t="s">
        <v>314</v>
      </c>
      <c r="B81" s="74" t="e">
        <f>t2jjcpaothr2</f>
        <v>#REF!</v>
      </c>
    </row>
    <row r="82" spans="1:2" ht="12.75" customHeight="1">
      <c r="A82" s="70" t="s">
        <v>315</v>
      </c>
      <c r="B82" s="74" t="e">
        <f>t2jjcpaothr3</f>
        <v>#REF!</v>
      </c>
    </row>
    <row r="83" spans="1:2" ht="12.75" customHeight="1">
      <c r="A83" s="70" t="s">
        <v>316</v>
      </c>
      <c r="B83" s="74" t="e">
        <f>t2jjcpatot</f>
        <v>#REF!</v>
      </c>
    </row>
    <row r="84" spans="1:2" ht="12.75" customHeight="1">
      <c r="A84" s="70" t="s">
        <v>317</v>
      </c>
      <c r="B84" s="74" t="e">
        <f>t2othersal</f>
        <v>#REF!</v>
      </c>
    </row>
    <row r="85" spans="1:2" ht="12.75" customHeight="1">
      <c r="A85" s="70" t="s">
        <v>318</v>
      </c>
      <c r="B85" s="74" t="e">
        <f>t2otherserv</f>
        <v>#REF!</v>
      </c>
    </row>
    <row r="86" spans="1:2" ht="12.75" customHeight="1">
      <c r="A86" s="70" t="s">
        <v>319</v>
      </c>
      <c r="B86" s="74" t="e">
        <f>t2otherprof</f>
        <v>#REF!</v>
      </c>
    </row>
    <row r="87" spans="1:2" ht="12.75" customHeight="1">
      <c r="A87" s="70" t="s">
        <v>320</v>
      </c>
      <c r="B87" s="74" t="e">
        <f>t2othercbo</f>
        <v>#REF!</v>
      </c>
    </row>
    <row r="88" spans="1:2" ht="12.75" customHeight="1">
      <c r="A88" s="70" t="s">
        <v>321</v>
      </c>
      <c r="B88" s="74" t="e">
        <f>t2otherequip</f>
        <v>#REF!</v>
      </c>
    </row>
    <row r="89" spans="1:2" ht="12.75" customHeight="1">
      <c r="A89" s="70" t="s">
        <v>322</v>
      </c>
      <c r="B89" s="74" t="e">
        <f>t2otheradmin</f>
        <v>#REF!</v>
      </c>
    </row>
    <row r="90" spans="1:2" ht="12.75" customHeight="1">
      <c r="A90" s="70" t="s">
        <v>323</v>
      </c>
      <c r="B90" s="74" t="e">
        <f>t2otherothr1</f>
        <v>#REF!</v>
      </c>
    </row>
    <row r="91" spans="1:2" ht="12.75" customHeight="1">
      <c r="A91" s="70" t="s">
        <v>324</v>
      </c>
      <c r="B91" s="74" t="e">
        <f>t2otherothr2</f>
        <v>#REF!</v>
      </c>
    </row>
    <row r="92" spans="1:2" ht="12.75" customHeight="1">
      <c r="A92" s="70" t="s">
        <v>325</v>
      </c>
      <c r="B92" s="74" t="e">
        <f>t2otherothr3</f>
        <v>#REF!</v>
      </c>
    </row>
    <row r="93" spans="1:2" ht="12.75" customHeight="1">
      <c r="A93" s="70" t="s">
        <v>326</v>
      </c>
      <c r="B93" s="74" t="e">
        <f>t2othertot</f>
        <v>#REF!</v>
      </c>
    </row>
    <row r="94" spans="1:2" ht="12.75" customHeight="1">
      <c r="A94" s="70" t="s">
        <v>327</v>
      </c>
      <c r="B94" s="72" t="e">
        <f>t2casecount</f>
        <v>#REF!</v>
      </c>
    </row>
    <row r="95" spans="1:2" ht="12.75" customHeight="1">
      <c r="A95" s="70" t="s">
        <v>328</v>
      </c>
      <c r="B95" s="75" t="e">
        <f>t2yobgpercap</f>
        <v>#REF!</v>
      </c>
    </row>
    <row r="96" spans="1:2" ht="12.75" customHeight="1">
      <c r="A96" s="70" t="s">
        <v>329</v>
      </c>
      <c r="B96" s="75" t="e">
        <f>t2totpercap</f>
        <v>#REF!</v>
      </c>
    </row>
    <row r="97" spans="1:2" ht="12.75" customHeight="1">
      <c r="A97" s="70" t="s">
        <v>330</v>
      </c>
      <c r="B97" s="72" t="e">
        <f>t2youth1</f>
        <v>#REF!</v>
      </c>
    </row>
    <row r="98" spans="1:2" ht="12.75" customHeight="1">
      <c r="A98" s="70" t="s">
        <v>331</v>
      </c>
      <c r="B98" s="72" t="e">
        <f>t2youth2</f>
        <v>#REF!</v>
      </c>
    </row>
    <row r="99" spans="1:2" ht="12.75" customHeight="1">
      <c r="A99" s="70" t="s">
        <v>332</v>
      </c>
      <c r="B99" s="72" t="e">
        <f>t2youth3</f>
        <v>#REF!</v>
      </c>
    </row>
    <row r="100" spans="1:2" ht="12.75" customHeight="1">
      <c r="A100" s="70" t="s">
        <v>333</v>
      </c>
      <c r="B100" s="72" t="e">
        <f>t2youth4</f>
        <v>#REF!</v>
      </c>
    </row>
    <row r="101" spans="1:2" ht="12.75" customHeight="1">
      <c r="A101" s="70" t="s">
        <v>334</v>
      </c>
      <c r="B101" s="72" t="e">
        <f>t2youth5</f>
        <v>#REF!</v>
      </c>
    </row>
    <row r="102" spans="1:2" ht="12.75" customHeight="1">
      <c r="A102" s="70" t="s">
        <v>335</v>
      </c>
      <c r="B102" s="72" t="e">
        <f>t2youth6</f>
        <v>#REF!</v>
      </c>
    </row>
    <row r="103" spans="1:2" ht="12.75" customHeight="1">
      <c r="A103" s="70" t="s">
        <v>336</v>
      </c>
      <c r="B103" s="70" t="e">
        <f>Numecodet3</f>
        <v>#REF!</v>
      </c>
    </row>
    <row r="104" spans="1:2" ht="12.75" customHeight="1">
      <c r="A104" s="70" t="s">
        <v>337</v>
      </c>
      <c r="B104" s="70" t="e">
        <f>Numealtt3</f>
        <v>#REF!</v>
      </c>
    </row>
    <row r="105" spans="1:2" ht="12.75" customHeight="1">
      <c r="A105" s="70" t="s">
        <v>338</v>
      </c>
      <c r="B105" s="74" t="e">
        <f>t3yobgsal</f>
        <v>#REF!</v>
      </c>
    </row>
    <row r="106" spans="1:2" ht="12.75" customHeight="1">
      <c r="A106" s="70" t="s">
        <v>339</v>
      </c>
      <c r="B106" s="74" t="e">
        <f>t3yobgserv</f>
        <v>#REF!</v>
      </c>
    </row>
    <row r="107" spans="1:2" ht="12.75" customHeight="1">
      <c r="A107" s="70" t="s">
        <v>340</v>
      </c>
      <c r="B107" s="74" t="e">
        <f>t3yobgprof</f>
        <v>#REF!</v>
      </c>
    </row>
    <row r="108" spans="1:2" ht="12.75" customHeight="1">
      <c r="A108" s="70" t="s">
        <v>341</v>
      </c>
      <c r="B108" s="74" t="e">
        <f>t3yobgcbo</f>
        <v>#REF!</v>
      </c>
    </row>
    <row r="109" spans="1:2" ht="12.75" customHeight="1">
      <c r="A109" s="70" t="s">
        <v>342</v>
      </c>
      <c r="B109" s="74" t="e">
        <f>t3yobgequip</f>
        <v>#REF!</v>
      </c>
    </row>
    <row r="110" spans="1:2" ht="12.75" customHeight="1">
      <c r="A110" s="70" t="s">
        <v>343</v>
      </c>
      <c r="B110" s="74" t="e">
        <f>t3yobgadmin</f>
        <v>#REF!</v>
      </c>
    </row>
    <row r="111" spans="1:2" ht="12.75" customHeight="1">
      <c r="A111" s="70" t="s">
        <v>344</v>
      </c>
      <c r="B111" s="74" t="e">
        <f>t3yobgothr1</f>
        <v>#REF!</v>
      </c>
    </row>
    <row r="112" spans="1:2" ht="12.75" customHeight="1">
      <c r="A112" s="70" t="s">
        <v>345</v>
      </c>
      <c r="B112" s="74" t="e">
        <f>t3yobgothr2</f>
        <v>#REF!</v>
      </c>
    </row>
    <row r="113" spans="1:2" ht="12.75" customHeight="1">
      <c r="A113" s="70" t="s">
        <v>346</v>
      </c>
      <c r="B113" s="74" t="e">
        <f>t3yobgothr3</f>
        <v>#REF!</v>
      </c>
    </row>
    <row r="114" spans="1:2" ht="12.75" customHeight="1">
      <c r="A114" s="70" t="s">
        <v>347</v>
      </c>
      <c r="B114" s="74" t="e">
        <f>t3yobgtot</f>
        <v>#REF!</v>
      </c>
    </row>
    <row r="115" spans="1:2" ht="12.75" customHeight="1">
      <c r="A115" s="70" t="s">
        <v>348</v>
      </c>
      <c r="B115" s="74" t="e">
        <f>t3jjcpasal</f>
        <v>#REF!</v>
      </c>
    </row>
    <row r="116" spans="1:2" ht="12.75" customHeight="1">
      <c r="A116" s="70" t="s">
        <v>349</v>
      </c>
      <c r="B116" s="74" t="e">
        <f>t3jjcpaserv</f>
        <v>#REF!</v>
      </c>
    </row>
    <row r="117" spans="1:2" ht="12.75" customHeight="1">
      <c r="A117" s="70" t="s">
        <v>350</v>
      </c>
      <c r="B117" s="74" t="e">
        <f>t3jjcpaprof</f>
        <v>#REF!</v>
      </c>
    </row>
    <row r="118" spans="1:2" ht="12.75" customHeight="1">
      <c r="A118" s="70" t="s">
        <v>351</v>
      </c>
      <c r="B118" s="74" t="e">
        <f>t3jjcpacbo</f>
        <v>#REF!</v>
      </c>
    </row>
    <row r="119" spans="1:2" ht="12.75" customHeight="1">
      <c r="A119" s="70" t="s">
        <v>352</v>
      </c>
      <c r="B119" s="74" t="e">
        <f>t3jjcpaequip</f>
        <v>#REF!</v>
      </c>
    </row>
    <row r="120" spans="1:2" ht="12.75" customHeight="1">
      <c r="A120" s="70" t="s">
        <v>353</v>
      </c>
      <c r="B120" s="74" t="e">
        <f>t3jjcpaadmin</f>
        <v>#REF!</v>
      </c>
    </row>
    <row r="121" spans="1:2" ht="12.75" customHeight="1">
      <c r="A121" s="70" t="s">
        <v>354</v>
      </c>
      <c r="B121" s="74" t="e">
        <f>t3jjcpaothr1</f>
        <v>#REF!</v>
      </c>
    </row>
    <row r="122" spans="1:2" ht="12.75" customHeight="1">
      <c r="A122" s="70" t="s">
        <v>355</v>
      </c>
      <c r="B122" s="74" t="e">
        <f>t3jjcpaothr2</f>
        <v>#REF!</v>
      </c>
    </row>
    <row r="123" spans="1:2" ht="12.75" customHeight="1">
      <c r="A123" s="70" t="s">
        <v>356</v>
      </c>
      <c r="B123" s="74" t="e">
        <f>t3jjcpaothr3</f>
        <v>#REF!</v>
      </c>
    </row>
    <row r="124" spans="1:2" ht="12.75" customHeight="1">
      <c r="A124" s="70" t="s">
        <v>357</v>
      </c>
      <c r="B124" s="74" t="e">
        <f>t3jjcpatot</f>
        <v>#REF!</v>
      </c>
    </row>
    <row r="125" spans="1:2" ht="12.75" customHeight="1">
      <c r="A125" s="70" t="s">
        <v>358</v>
      </c>
      <c r="B125" s="74" t="e">
        <f>t3othersal</f>
        <v>#REF!</v>
      </c>
    </row>
    <row r="126" spans="1:2" ht="12.75" customHeight="1">
      <c r="A126" s="70" t="s">
        <v>359</v>
      </c>
      <c r="B126" s="74" t="e">
        <f>t3otherserv</f>
        <v>#REF!</v>
      </c>
    </row>
    <row r="127" spans="1:2" ht="12.75" customHeight="1">
      <c r="A127" s="70" t="s">
        <v>360</v>
      </c>
      <c r="B127" s="74" t="e">
        <f>t3otherprof</f>
        <v>#REF!</v>
      </c>
    </row>
    <row r="128" spans="1:2" ht="12.75" customHeight="1">
      <c r="A128" s="70" t="s">
        <v>361</v>
      </c>
      <c r="B128" s="74" t="e">
        <f>t3othercbo</f>
        <v>#REF!</v>
      </c>
    </row>
    <row r="129" spans="1:2" ht="12.75" customHeight="1">
      <c r="A129" s="70" t="s">
        <v>362</v>
      </c>
      <c r="B129" s="74" t="e">
        <f>t3otherequip</f>
        <v>#REF!</v>
      </c>
    </row>
    <row r="130" spans="1:2" ht="12.75" customHeight="1">
      <c r="A130" s="70" t="s">
        <v>363</v>
      </c>
      <c r="B130" s="74" t="e">
        <f>t3otheradmin</f>
        <v>#REF!</v>
      </c>
    </row>
    <row r="131" spans="1:2" ht="12.75" customHeight="1">
      <c r="A131" s="70" t="s">
        <v>364</v>
      </c>
      <c r="B131" s="74" t="e">
        <f>t3otherothr1</f>
        <v>#REF!</v>
      </c>
    </row>
    <row r="132" spans="1:2" ht="12.75" customHeight="1">
      <c r="A132" s="70" t="s">
        <v>365</v>
      </c>
      <c r="B132" s="74" t="e">
        <f>t3otherothr2</f>
        <v>#REF!</v>
      </c>
    </row>
    <row r="133" spans="1:2" ht="12.75" customHeight="1">
      <c r="A133" s="70" t="s">
        <v>366</v>
      </c>
      <c r="B133" s="74" t="e">
        <f>t3otherothr3</f>
        <v>#REF!</v>
      </c>
    </row>
    <row r="134" spans="1:2" ht="12.75" customHeight="1">
      <c r="A134" s="70" t="s">
        <v>367</v>
      </c>
      <c r="B134" s="74" t="e">
        <f>t3othertot</f>
        <v>#REF!</v>
      </c>
    </row>
    <row r="135" spans="1:2" ht="12.75" customHeight="1">
      <c r="A135" s="70" t="s">
        <v>368</v>
      </c>
      <c r="B135" s="72" t="e">
        <f>t3casecount</f>
        <v>#REF!</v>
      </c>
    </row>
    <row r="136" spans="1:2" ht="12.75" customHeight="1">
      <c r="A136" s="70" t="s">
        <v>369</v>
      </c>
      <c r="B136" s="75" t="e">
        <f>t3yobgpercap</f>
        <v>#REF!</v>
      </c>
    </row>
    <row r="137" spans="1:2" ht="12.75" customHeight="1">
      <c r="A137" s="70" t="s">
        <v>370</v>
      </c>
      <c r="B137" s="75" t="e">
        <f>t3totpercap</f>
        <v>#REF!</v>
      </c>
    </row>
    <row r="138" spans="1:2" ht="12.75" customHeight="1">
      <c r="A138" s="70" t="s">
        <v>371</v>
      </c>
      <c r="B138" s="72" t="e">
        <f>t3youth1</f>
        <v>#REF!</v>
      </c>
    </row>
    <row r="139" spans="1:2" ht="12.75" customHeight="1">
      <c r="A139" s="70" t="s">
        <v>372</v>
      </c>
      <c r="B139" s="72" t="e">
        <f>t3youth2</f>
        <v>#REF!</v>
      </c>
    </row>
    <row r="140" spans="1:2" ht="12.75" customHeight="1">
      <c r="A140" s="70" t="s">
        <v>373</v>
      </c>
      <c r="B140" s="72" t="e">
        <f>t3youth3</f>
        <v>#REF!</v>
      </c>
    </row>
    <row r="141" spans="1:2" ht="12.75" customHeight="1">
      <c r="A141" s="70" t="s">
        <v>374</v>
      </c>
      <c r="B141" s="72" t="e">
        <f>t3youth4</f>
        <v>#REF!</v>
      </c>
    </row>
    <row r="142" spans="1:2" ht="12.75" customHeight="1">
      <c r="A142" s="70" t="s">
        <v>375</v>
      </c>
      <c r="B142" s="72" t="e">
        <f>t3youth5</f>
        <v>#REF!</v>
      </c>
    </row>
    <row r="143" spans="1:2" ht="12.75" customHeight="1">
      <c r="A143" s="70" t="s">
        <v>376</v>
      </c>
      <c r="B143" s="72" t="e">
        <f>t3youth6</f>
        <v>#REF!</v>
      </c>
    </row>
    <row r="144" spans="1:2" ht="12.75" customHeight="1">
      <c r="A144" s="70" t="s">
        <v>377</v>
      </c>
      <c r="B144" s="70" t="e">
        <f>Numecodet4</f>
        <v>#REF!</v>
      </c>
    </row>
    <row r="145" spans="1:2" ht="12.75" customHeight="1">
      <c r="A145" s="70" t="s">
        <v>378</v>
      </c>
      <c r="B145" s="70" t="e">
        <f>Numealtt4</f>
        <v>#REF!</v>
      </c>
    </row>
    <row r="146" spans="1:2" ht="12.75" customHeight="1">
      <c r="A146" s="70" t="s">
        <v>379</v>
      </c>
      <c r="B146" s="74" t="e">
        <f>t4yobgsal</f>
        <v>#REF!</v>
      </c>
    </row>
    <row r="147" spans="1:2" ht="12.75" customHeight="1">
      <c r="A147" s="70" t="s">
        <v>380</v>
      </c>
      <c r="B147" s="74" t="e">
        <f>t4yobgserv</f>
        <v>#REF!</v>
      </c>
    </row>
    <row r="148" spans="1:2" ht="12.75" customHeight="1">
      <c r="A148" s="70" t="s">
        <v>381</v>
      </c>
      <c r="B148" s="74" t="e">
        <f>t4yobgprof</f>
        <v>#REF!</v>
      </c>
    </row>
    <row r="149" spans="1:2" ht="12.75" customHeight="1">
      <c r="A149" s="70" t="s">
        <v>382</v>
      </c>
      <c r="B149" s="74" t="e">
        <f>t4yobgcbo</f>
        <v>#REF!</v>
      </c>
    </row>
    <row r="150" spans="1:2" ht="12.75" customHeight="1">
      <c r="A150" s="70" t="s">
        <v>383</v>
      </c>
      <c r="B150" s="74" t="e">
        <f>t4yobgequip</f>
        <v>#REF!</v>
      </c>
    </row>
    <row r="151" spans="1:2" ht="12.75" customHeight="1">
      <c r="A151" s="70" t="s">
        <v>384</v>
      </c>
      <c r="B151" s="74" t="e">
        <f>t4yobgadmin</f>
        <v>#REF!</v>
      </c>
    </row>
    <row r="152" spans="1:2" ht="12.75" customHeight="1">
      <c r="A152" s="70" t="s">
        <v>385</v>
      </c>
      <c r="B152" s="74" t="e">
        <f>t4yobgothr1</f>
        <v>#REF!</v>
      </c>
    </row>
    <row r="153" spans="1:2" ht="12.75" customHeight="1">
      <c r="A153" s="70" t="s">
        <v>386</v>
      </c>
      <c r="B153" s="74" t="e">
        <f>t4yobgothr2</f>
        <v>#REF!</v>
      </c>
    </row>
    <row r="154" spans="1:2" ht="12.75" customHeight="1">
      <c r="A154" s="70" t="s">
        <v>387</v>
      </c>
      <c r="B154" s="74" t="e">
        <f>t4yobgothr3</f>
        <v>#REF!</v>
      </c>
    </row>
    <row r="155" spans="1:2" ht="12.75" customHeight="1">
      <c r="A155" s="70" t="s">
        <v>388</v>
      </c>
      <c r="B155" s="74" t="e">
        <f>t4yobgtot</f>
        <v>#REF!</v>
      </c>
    </row>
    <row r="156" spans="1:2" ht="12.75" customHeight="1">
      <c r="A156" s="70" t="s">
        <v>389</v>
      </c>
      <c r="B156" s="74" t="e">
        <f>t4jjcpasal</f>
        <v>#REF!</v>
      </c>
    </row>
    <row r="157" spans="1:2" ht="12.75" customHeight="1">
      <c r="A157" s="70" t="s">
        <v>390</v>
      </c>
      <c r="B157" s="74" t="e">
        <f>t4jjcpaserv</f>
        <v>#REF!</v>
      </c>
    </row>
    <row r="158" spans="1:2" ht="12.75" customHeight="1">
      <c r="A158" s="70" t="s">
        <v>391</v>
      </c>
      <c r="B158" s="74" t="e">
        <f>t4jjcpaprof</f>
        <v>#REF!</v>
      </c>
    </row>
    <row r="159" spans="1:2" ht="12.75" customHeight="1">
      <c r="A159" s="70" t="s">
        <v>392</v>
      </c>
      <c r="B159" s="74" t="e">
        <f>t4jjcpacbo</f>
        <v>#REF!</v>
      </c>
    </row>
    <row r="160" spans="1:2" ht="12.75" customHeight="1">
      <c r="A160" s="70" t="s">
        <v>393</v>
      </c>
      <c r="B160" s="74" t="e">
        <f>t4jjcpaequip</f>
        <v>#REF!</v>
      </c>
    </row>
    <row r="161" spans="1:2" ht="12.75" customHeight="1">
      <c r="A161" s="70" t="s">
        <v>394</v>
      </c>
      <c r="B161" s="74" t="e">
        <f>t4jjcpaadmin</f>
        <v>#REF!</v>
      </c>
    </row>
    <row r="162" spans="1:2" ht="12.75" customHeight="1">
      <c r="A162" s="70" t="s">
        <v>395</v>
      </c>
      <c r="B162" s="74" t="e">
        <f>t4jjcpaothr1</f>
        <v>#REF!</v>
      </c>
    </row>
    <row r="163" spans="1:2" ht="12.75" customHeight="1">
      <c r="A163" s="70" t="s">
        <v>396</v>
      </c>
      <c r="B163" s="74" t="e">
        <f>t4jjcpaothr2</f>
        <v>#REF!</v>
      </c>
    </row>
    <row r="164" spans="1:2" ht="12.75" customHeight="1">
      <c r="A164" s="70" t="s">
        <v>397</v>
      </c>
      <c r="B164" s="74" t="e">
        <f>t4jjcpaothr3</f>
        <v>#REF!</v>
      </c>
    </row>
    <row r="165" spans="1:2" ht="12.75" customHeight="1">
      <c r="A165" s="70" t="s">
        <v>398</v>
      </c>
      <c r="B165" s="74" t="e">
        <f>t4jjcpatot</f>
        <v>#REF!</v>
      </c>
    </row>
    <row r="166" spans="1:2" ht="12.75" customHeight="1">
      <c r="A166" s="70" t="s">
        <v>399</v>
      </c>
      <c r="B166" s="74" t="e">
        <f>t4othersal</f>
        <v>#REF!</v>
      </c>
    </row>
    <row r="167" spans="1:2" ht="12.75" customHeight="1">
      <c r="A167" s="70" t="s">
        <v>400</v>
      </c>
      <c r="B167" s="74" t="e">
        <f>t4otherserv</f>
        <v>#REF!</v>
      </c>
    </row>
    <row r="168" spans="1:2" ht="12.75" customHeight="1">
      <c r="A168" s="70" t="s">
        <v>401</v>
      </c>
      <c r="B168" s="74" t="e">
        <f>t4otherprof</f>
        <v>#REF!</v>
      </c>
    </row>
    <row r="169" spans="1:2" ht="12.75" customHeight="1">
      <c r="A169" s="70" t="s">
        <v>402</v>
      </c>
      <c r="B169" s="74" t="e">
        <f>t4othercbo</f>
        <v>#REF!</v>
      </c>
    </row>
    <row r="170" spans="1:2" ht="12.75" customHeight="1">
      <c r="A170" s="70" t="s">
        <v>403</v>
      </c>
      <c r="B170" s="74" t="e">
        <f>t4otherequip</f>
        <v>#REF!</v>
      </c>
    </row>
    <row r="171" spans="1:2" ht="12.75" customHeight="1">
      <c r="A171" s="70" t="s">
        <v>404</v>
      </c>
      <c r="B171" s="74" t="e">
        <f>t4otheradmin</f>
        <v>#REF!</v>
      </c>
    </row>
    <row r="172" spans="1:2" ht="12.75" customHeight="1">
      <c r="A172" s="70" t="s">
        <v>405</v>
      </c>
      <c r="B172" s="74" t="e">
        <f>t4otherothr1</f>
        <v>#REF!</v>
      </c>
    </row>
    <row r="173" spans="1:2" ht="12.75" customHeight="1">
      <c r="A173" s="70" t="s">
        <v>406</v>
      </c>
      <c r="B173" s="74" t="e">
        <f>t4otherothr2</f>
        <v>#REF!</v>
      </c>
    </row>
    <row r="174" spans="1:2" ht="12.75" customHeight="1">
      <c r="A174" s="70" t="s">
        <v>407</v>
      </c>
      <c r="B174" s="74" t="e">
        <f>t4otherothr3</f>
        <v>#REF!</v>
      </c>
    </row>
    <row r="175" spans="1:2" ht="12.75" customHeight="1">
      <c r="A175" s="70" t="s">
        <v>408</v>
      </c>
      <c r="B175" s="74" t="e">
        <f>t4othertot</f>
        <v>#REF!</v>
      </c>
    </row>
    <row r="176" spans="1:2" ht="12.75" customHeight="1">
      <c r="A176" s="70" t="s">
        <v>409</v>
      </c>
      <c r="B176" s="72" t="e">
        <f>t4casecount</f>
        <v>#REF!</v>
      </c>
    </row>
    <row r="177" spans="1:2" ht="12.75" customHeight="1">
      <c r="A177" s="70" t="s">
        <v>410</v>
      </c>
      <c r="B177" s="75" t="e">
        <f>t4yobgpercap</f>
        <v>#REF!</v>
      </c>
    </row>
    <row r="178" spans="1:2" ht="12.75" customHeight="1">
      <c r="A178" s="70" t="s">
        <v>411</v>
      </c>
      <c r="B178" s="75" t="e">
        <f>t4totpercap</f>
        <v>#REF!</v>
      </c>
    </row>
    <row r="179" spans="1:2" ht="12.75" customHeight="1">
      <c r="A179" s="70" t="s">
        <v>412</v>
      </c>
      <c r="B179" s="72" t="e">
        <f>t4youth1</f>
        <v>#REF!</v>
      </c>
    </row>
    <row r="180" spans="1:2" ht="12.75" customHeight="1">
      <c r="A180" s="70" t="s">
        <v>413</v>
      </c>
      <c r="B180" s="72" t="e">
        <f>t4youth2</f>
        <v>#REF!</v>
      </c>
    </row>
    <row r="181" spans="1:2" ht="12.75" customHeight="1">
      <c r="A181" s="70" t="s">
        <v>414</v>
      </c>
      <c r="B181" s="72" t="e">
        <f>t4youth3</f>
        <v>#REF!</v>
      </c>
    </row>
    <row r="182" spans="1:2" ht="12.75" customHeight="1">
      <c r="A182" s="70" t="s">
        <v>415</v>
      </c>
      <c r="B182" s="72" t="e">
        <f>t4youth4</f>
        <v>#REF!</v>
      </c>
    </row>
    <row r="183" spans="1:2" ht="12.75" customHeight="1">
      <c r="A183" s="70" t="s">
        <v>416</v>
      </c>
      <c r="B183" s="72" t="e">
        <f>t4youth5</f>
        <v>#REF!</v>
      </c>
    </row>
    <row r="184" spans="1:2" ht="12.75" customHeight="1">
      <c r="A184" s="70" t="s">
        <v>417</v>
      </c>
      <c r="B184" s="72" t="e">
        <f>t4youth6</f>
        <v>#REF!</v>
      </c>
    </row>
    <row r="185" spans="1:2" ht="12.75" customHeight="1">
      <c r="A185" s="70" t="s">
        <v>418</v>
      </c>
      <c r="B185" s="70" t="e">
        <f>Numecodet5</f>
        <v>#REF!</v>
      </c>
    </row>
    <row r="186" spans="1:2" ht="12.75" customHeight="1">
      <c r="A186" s="70" t="s">
        <v>419</v>
      </c>
      <c r="B186" s="70" t="e">
        <f>Numealtt5</f>
        <v>#REF!</v>
      </c>
    </row>
    <row r="187" spans="1:2" ht="12.75" customHeight="1">
      <c r="A187" s="70" t="s">
        <v>420</v>
      </c>
      <c r="B187" s="74" t="e">
        <f>t5yobgsal</f>
        <v>#REF!</v>
      </c>
    </row>
    <row r="188" spans="1:2" ht="12.75" customHeight="1">
      <c r="A188" s="70" t="s">
        <v>421</v>
      </c>
      <c r="B188" s="74" t="e">
        <f>t5yobgserv</f>
        <v>#REF!</v>
      </c>
    </row>
    <row r="189" spans="1:2" ht="12.75" customHeight="1">
      <c r="A189" s="70" t="s">
        <v>422</v>
      </c>
      <c r="B189" s="74" t="e">
        <f>t5yobgprof</f>
        <v>#REF!</v>
      </c>
    </row>
    <row r="190" spans="1:2" ht="12.75" customHeight="1">
      <c r="A190" s="70" t="s">
        <v>423</v>
      </c>
      <c r="B190" s="74" t="e">
        <f>t5yobgcbo</f>
        <v>#REF!</v>
      </c>
    </row>
    <row r="191" spans="1:2" ht="12.75" customHeight="1">
      <c r="A191" s="70" t="s">
        <v>424</v>
      </c>
      <c r="B191" s="74" t="e">
        <f>t5yobgequip</f>
        <v>#REF!</v>
      </c>
    </row>
    <row r="192" spans="1:2" ht="12.75" customHeight="1">
      <c r="A192" s="70" t="s">
        <v>425</v>
      </c>
      <c r="B192" s="74" t="e">
        <f>t5yobgadmin</f>
        <v>#REF!</v>
      </c>
    </row>
    <row r="193" spans="1:2" ht="12.75" customHeight="1">
      <c r="A193" s="70" t="s">
        <v>426</v>
      </c>
      <c r="B193" s="74" t="e">
        <f>t5yobgothr1</f>
        <v>#REF!</v>
      </c>
    </row>
    <row r="194" spans="1:2" ht="12.75" customHeight="1">
      <c r="A194" s="70" t="s">
        <v>427</v>
      </c>
      <c r="B194" s="74" t="e">
        <f>t5yobgothr2</f>
        <v>#REF!</v>
      </c>
    </row>
    <row r="195" spans="1:2" ht="12.75" customHeight="1">
      <c r="A195" s="70" t="s">
        <v>428</v>
      </c>
      <c r="B195" s="74" t="e">
        <f>t5yobgothr3</f>
        <v>#REF!</v>
      </c>
    </row>
    <row r="196" spans="1:2" ht="12.75" customHeight="1">
      <c r="A196" s="70" t="s">
        <v>429</v>
      </c>
      <c r="B196" s="74" t="e">
        <f>t5yobgtot</f>
        <v>#REF!</v>
      </c>
    </row>
    <row r="197" spans="1:2" ht="12.75" customHeight="1">
      <c r="A197" s="70" t="s">
        <v>430</v>
      </c>
      <c r="B197" s="74" t="e">
        <f>t5jjcpasal</f>
        <v>#REF!</v>
      </c>
    </row>
    <row r="198" spans="1:2" ht="12.75" customHeight="1">
      <c r="A198" s="70" t="s">
        <v>431</v>
      </c>
      <c r="B198" s="74" t="e">
        <f>t5jjcpaserv</f>
        <v>#REF!</v>
      </c>
    </row>
    <row r="199" spans="1:2" ht="12.75" customHeight="1">
      <c r="A199" s="70" t="s">
        <v>432</v>
      </c>
      <c r="B199" s="74" t="e">
        <f>t5jjcpaprof</f>
        <v>#REF!</v>
      </c>
    </row>
    <row r="200" spans="1:2" ht="12.75" customHeight="1">
      <c r="A200" s="70" t="s">
        <v>433</v>
      </c>
      <c r="B200" s="74" t="e">
        <f>t5jjcpacbo</f>
        <v>#REF!</v>
      </c>
    </row>
    <row r="201" spans="1:2" ht="12.75" customHeight="1">
      <c r="A201" s="70" t="s">
        <v>434</v>
      </c>
      <c r="B201" s="74" t="e">
        <f>t5jjcpaequip</f>
        <v>#REF!</v>
      </c>
    </row>
    <row r="202" spans="1:2" ht="12.75" customHeight="1">
      <c r="A202" s="70" t="s">
        <v>435</v>
      </c>
      <c r="B202" s="74" t="e">
        <f>t5jjcpaadmin</f>
        <v>#REF!</v>
      </c>
    </row>
    <row r="203" spans="1:2" ht="12.75" customHeight="1">
      <c r="A203" s="70" t="s">
        <v>436</v>
      </c>
      <c r="B203" s="74" t="e">
        <f>t5jjcpaothr1</f>
        <v>#REF!</v>
      </c>
    </row>
    <row r="204" spans="1:2" ht="12.75" customHeight="1">
      <c r="A204" s="70" t="s">
        <v>437</v>
      </c>
      <c r="B204" s="74" t="e">
        <f>t5jjcpaothr2</f>
        <v>#REF!</v>
      </c>
    </row>
    <row r="205" spans="1:2" ht="12.75" customHeight="1">
      <c r="A205" s="70" t="s">
        <v>438</v>
      </c>
      <c r="B205" s="74" t="e">
        <f>t5jjcpaothr3</f>
        <v>#REF!</v>
      </c>
    </row>
    <row r="206" spans="1:2" ht="12.75" customHeight="1">
      <c r="A206" s="70" t="s">
        <v>439</v>
      </c>
      <c r="B206" s="74" t="e">
        <f>t5jjcpatot</f>
        <v>#REF!</v>
      </c>
    </row>
    <row r="207" spans="1:2" ht="12.75" customHeight="1">
      <c r="A207" s="70" t="s">
        <v>440</v>
      </c>
      <c r="B207" s="74" t="e">
        <f>t5othersal</f>
        <v>#REF!</v>
      </c>
    </row>
    <row r="208" spans="1:2" ht="12.75" customHeight="1">
      <c r="A208" s="70" t="s">
        <v>441</v>
      </c>
      <c r="B208" s="74" t="e">
        <f>t5otherserv</f>
        <v>#REF!</v>
      </c>
    </row>
    <row r="209" spans="1:2" ht="12.75" customHeight="1">
      <c r="A209" s="70" t="s">
        <v>442</v>
      </c>
      <c r="B209" s="74" t="e">
        <f>t5otherprof</f>
        <v>#REF!</v>
      </c>
    </row>
    <row r="210" spans="1:2" ht="12.75" customHeight="1">
      <c r="A210" s="70" t="s">
        <v>443</v>
      </c>
      <c r="B210" s="74" t="e">
        <f>t5othercbo</f>
        <v>#REF!</v>
      </c>
    </row>
    <row r="211" spans="1:2" ht="12.75" customHeight="1">
      <c r="A211" s="70" t="s">
        <v>444</v>
      </c>
      <c r="B211" s="74" t="e">
        <f>t5otherequip</f>
        <v>#REF!</v>
      </c>
    </row>
    <row r="212" spans="1:2" ht="12.75" customHeight="1">
      <c r="A212" s="70" t="s">
        <v>445</v>
      </c>
      <c r="B212" s="74" t="e">
        <f>t5otheradmin</f>
        <v>#REF!</v>
      </c>
    </row>
    <row r="213" spans="1:2" ht="12.75" customHeight="1">
      <c r="A213" s="70" t="s">
        <v>446</v>
      </c>
      <c r="B213" s="74" t="e">
        <f>t5otherothr1</f>
        <v>#REF!</v>
      </c>
    </row>
    <row r="214" spans="1:2" ht="12.75" customHeight="1">
      <c r="A214" s="70" t="s">
        <v>447</v>
      </c>
      <c r="B214" s="74" t="e">
        <f>t5otherothr2</f>
        <v>#REF!</v>
      </c>
    </row>
    <row r="215" spans="1:2" ht="12.75" customHeight="1">
      <c r="A215" s="70" t="s">
        <v>448</v>
      </c>
      <c r="B215" s="74" t="e">
        <f>t5otherothr3</f>
        <v>#REF!</v>
      </c>
    </row>
    <row r="216" spans="1:2" ht="12.75" customHeight="1">
      <c r="A216" s="70" t="s">
        <v>449</v>
      </c>
      <c r="B216" s="74" t="e">
        <f>t5othertot</f>
        <v>#REF!</v>
      </c>
    </row>
    <row r="217" spans="1:2" ht="12.75" customHeight="1">
      <c r="A217" s="70" t="s">
        <v>450</v>
      </c>
      <c r="B217" s="72" t="e">
        <f>t5casecount</f>
        <v>#REF!</v>
      </c>
    </row>
    <row r="218" spans="1:2" ht="12.75" customHeight="1">
      <c r="A218" s="70" t="s">
        <v>451</v>
      </c>
      <c r="B218" s="75" t="e">
        <f>t5yobgpercap</f>
        <v>#REF!</v>
      </c>
    </row>
    <row r="219" spans="1:2" ht="12.75" customHeight="1">
      <c r="A219" s="70" t="s">
        <v>452</v>
      </c>
      <c r="B219" s="75" t="e">
        <f>t5totpercap</f>
        <v>#REF!</v>
      </c>
    </row>
    <row r="220" spans="1:2" ht="12.75" customHeight="1">
      <c r="A220" s="70" t="s">
        <v>453</v>
      </c>
      <c r="B220" s="72" t="e">
        <f>t5youth1</f>
        <v>#REF!</v>
      </c>
    </row>
    <row r="221" spans="1:2" ht="12.75" customHeight="1">
      <c r="A221" s="70" t="s">
        <v>454</v>
      </c>
      <c r="B221" s="72" t="e">
        <f>t5youth2</f>
        <v>#REF!</v>
      </c>
    </row>
    <row r="222" spans="1:2" ht="12.75" customHeight="1">
      <c r="A222" s="70" t="s">
        <v>455</v>
      </c>
      <c r="B222" s="72" t="e">
        <f>t5youth3</f>
        <v>#REF!</v>
      </c>
    </row>
    <row r="223" spans="1:2" ht="12.75" customHeight="1">
      <c r="A223" s="70" t="s">
        <v>456</v>
      </c>
      <c r="B223" s="72" t="e">
        <f>t5youth4</f>
        <v>#REF!</v>
      </c>
    </row>
    <row r="224" spans="1:2" ht="12.75" customHeight="1">
      <c r="A224" s="70" t="s">
        <v>457</v>
      </c>
      <c r="B224" s="72" t="e">
        <f>t5youth5</f>
        <v>#REF!</v>
      </c>
    </row>
    <row r="225" spans="1:2" ht="12.75" customHeight="1">
      <c r="A225" s="70" t="s">
        <v>458</v>
      </c>
      <c r="B225" s="72"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70" t="s">
        <v>234</v>
      </c>
      <c r="B1" s="78" t="str">
        <f>County</f>
        <v>San Francisco</v>
      </c>
    </row>
    <row r="2" spans="1:2" ht="12.75" customHeight="1">
      <c r="A2" s="70" t="s">
        <v>459</v>
      </c>
      <c r="B2" s="70" t="e">
        <f>Numecodet6</f>
        <v>#REF!</v>
      </c>
    </row>
    <row r="3" spans="1:2" ht="12.75" customHeight="1">
      <c r="A3" s="70" t="s">
        <v>460</v>
      </c>
      <c r="B3" s="70" t="e">
        <f>Numealtt6</f>
        <v>#REF!</v>
      </c>
    </row>
    <row r="4" spans="1:2" ht="12.75" customHeight="1">
      <c r="A4" s="70" t="s">
        <v>461</v>
      </c>
      <c r="B4" s="74" t="e">
        <f>t6yobgsal</f>
        <v>#REF!</v>
      </c>
    </row>
    <row r="5" spans="1:2" ht="12.75" customHeight="1">
      <c r="A5" s="70" t="s">
        <v>462</v>
      </c>
      <c r="B5" s="74" t="e">
        <f>t6yobgserv</f>
        <v>#REF!</v>
      </c>
    </row>
    <row r="6" spans="1:2" ht="12.75" customHeight="1">
      <c r="A6" s="70" t="s">
        <v>463</v>
      </c>
      <c r="B6" s="74" t="e">
        <f>t6yobgprof</f>
        <v>#REF!</v>
      </c>
    </row>
    <row r="7" spans="1:2" ht="12.75" customHeight="1">
      <c r="A7" s="70" t="s">
        <v>464</v>
      </c>
      <c r="B7" s="74" t="e">
        <f>t6yobgcbo</f>
        <v>#REF!</v>
      </c>
    </row>
    <row r="8" spans="1:2" ht="12.75" customHeight="1">
      <c r="A8" s="70" t="s">
        <v>465</v>
      </c>
      <c r="B8" s="74" t="e">
        <f>t6yobgequip</f>
        <v>#REF!</v>
      </c>
    </row>
    <row r="9" spans="1:2" ht="12.75" customHeight="1">
      <c r="A9" s="70" t="s">
        <v>466</v>
      </c>
      <c r="B9" s="74" t="e">
        <f>t6yobgadmin</f>
        <v>#REF!</v>
      </c>
    </row>
    <row r="10" spans="1:2" ht="12.75" customHeight="1">
      <c r="A10" s="70" t="s">
        <v>467</v>
      </c>
      <c r="B10" s="74" t="e">
        <f>t6yobgothr1</f>
        <v>#REF!</v>
      </c>
    </row>
    <row r="11" spans="1:2" ht="12.75" customHeight="1">
      <c r="A11" s="70" t="s">
        <v>468</v>
      </c>
      <c r="B11" s="74" t="e">
        <f>t6yobgothr2</f>
        <v>#REF!</v>
      </c>
    </row>
    <row r="12" spans="1:2" ht="12.75" customHeight="1">
      <c r="A12" s="70" t="s">
        <v>469</v>
      </c>
      <c r="B12" s="74" t="e">
        <f>t6yobgothr3</f>
        <v>#REF!</v>
      </c>
    </row>
    <row r="13" spans="1:2" ht="12.75" customHeight="1">
      <c r="A13" s="70" t="s">
        <v>470</v>
      </c>
      <c r="B13" s="74" t="e">
        <f>t6yobgtot</f>
        <v>#REF!</v>
      </c>
    </row>
    <row r="14" spans="1:2" ht="12.75" customHeight="1">
      <c r="A14" s="70" t="s">
        <v>471</v>
      </c>
      <c r="B14" s="74" t="e">
        <f>t6jjcpasal</f>
        <v>#REF!</v>
      </c>
    </row>
    <row r="15" spans="1:2" ht="12.75" customHeight="1">
      <c r="A15" s="70" t="s">
        <v>472</v>
      </c>
      <c r="B15" s="74" t="e">
        <f>t6jjcpaserv</f>
        <v>#REF!</v>
      </c>
    </row>
    <row r="16" spans="1:2" ht="12.75" customHeight="1">
      <c r="A16" s="70" t="s">
        <v>473</v>
      </c>
      <c r="B16" s="74" t="e">
        <f>t6jjcpaprof</f>
        <v>#REF!</v>
      </c>
    </row>
    <row r="17" spans="1:2" ht="12.75" customHeight="1">
      <c r="A17" s="70" t="s">
        <v>474</v>
      </c>
      <c r="B17" s="74" t="e">
        <f>t6jjcpacbo</f>
        <v>#REF!</v>
      </c>
    </row>
    <row r="18" spans="1:2" ht="12.75" customHeight="1">
      <c r="A18" s="70" t="s">
        <v>475</v>
      </c>
      <c r="B18" s="74" t="e">
        <f>t6jjcpaequip</f>
        <v>#REF!</v>
      </c>
    </row>
    <row r="19" spans="1:2" ht="12.75" customHeight="1">
      <c r="A19" s="70" t="s">
        <v>476</v>
      </c>
      <c r="B19" s="74" t="e">
        <f>t6jjcpaadmin</f>
        <v>#REF!</v>
      </c>
    </row>
    <row r="20" spans="1:2" ht="12.75" customHeight="1">
      <c r="A20" s="70" t="s">
        <v>477</v>
      </c>
      <c r="B20" s="74" t="e">
        <f>t6jjcpaothr1</f>
        <v>#REF!</v>
      </c>
    </row>
    <row r="21" spans="1:2" ht="12.75" customHeight="1">
      <c r="A21" s="70" t="s">
        <v>478</v>
      </c>
      <c r="B21" s="74" t="e">
        <f>t6jjcpaothr2</f>
        <v>#REF!</v>
      </c>
    </row>
    <row r="22" spans="1:2" ht="12.75" customHeight="1">
      <c r="A22" s="70" t="s">
        <v>479</v>
      </c>
      <c r="B22" s="74" t="e">
        <f>t6jjcpaothr3</f>
        <v>#REF!</v>
      </c>
    </row>
    <row r="23" spans="1:2" ht="12.75" customHeight="1">
      <c r="A23" s="70" t="s">
        <v>480</v>
      </c>
      <c r="B23" s="74" t="e">
        <f>t6jjcpatot</f>
        <v>#REF!</v>
      </c>
    </row>
    <row r="24" spans="1:2" ht="12.75" customHeight="1">
      <c r="A24" s="70" t="s">
        <v>481</v>
      </c>
      <c r="B24" s="74" t="e">
        <f>t6othersal</f>
        <v>#REF!</v>
      </c>
    </row>
    <row r="25" spans="1:2" ht="12.75" customHeight="1">
      <c r="A25" s="70" t="s">
        <v>482</v>
      </c>
      <c r="B25" s="74" t="e">
        <f>t6otherserv</f>
        <v>#REF!</v>
      </c>
    </row>
    <row r="26" spans="1:2" ht="12.75" customHeight="1">
      <c r="A26" s="70" t="s">
        <v>483</v>
      </c>
      <c r="B26" s="74" t="e">
        <f>t6otherprof</f>
        <v>#REF!</v>
      </c>
    </row>
    <row r="27" spans="1:2" ht="12.75" customHeight="1">
      <c r="A27" s="70" t="s">
        <v>484</v>
      </c>
      <c r="B27" s="74" t="e">
        <f>t6othercbo</f>
        <v>#REF!</v>
      </c>
    </row>
    <row r="28" spans="1:2" ht="12.75" customHeight="1">
      <c r="A28" s="70" t="s">
        <v>485</v>
      </c>
      <c r="B28" s="74" t="e">
        <f>t6otherequip</f>
        <v>#REF!</v>
      </c>
    </row>
    <row r="29" spans="1:2" ht="12.75" customHeight="1">
      <c r="A29" s="70" t="s">
        <v>486</v>
      </c>
      <c r="B29" s="74" t="e">
        <f>t6otheradmin</f>
        <v>#REF!</v>
      </c>
    </row>
    <row r="30" spans="1:2" ht="12.75" customHeight="1">
      <c r="A30" s="70" t="s">
        <v>487</v>
      </c>
      <c r="B30" s="74" t="e">
        <f>t6otherothr1</f>
        <v>#REF!</v>
      </c>
    </row>
    <row r="31" spans="1:2" ht="12.75" customHeight="1">
      <c r="A31" s="70" t="s">
        <v>488</v>
      </c>
      <c r="B31" s="74" t="e">
        <f>t6otherothr2</f>
        <v>#REF!</v>
      </c>
    </row>
    <row r="32" spans="1:2" ht="12.75" customHeight="1">
      <c r="A32" s="70" t="s">
        <v>489</v>
      </c>
      <c r="B32" s="74" t="e">
        <f>t6otherothr3</f>
        <v>#REF!</v>
      </c>
    </row>
    <row r="33" spans="1:2" ht="12.75" customHeight="1">
      <c r="A33" s="70" t="s">
        <v>490</v>
      </c>
      <c r="B33" s="74" t="e">
        <f>t6othertot</f>
        <v>#REF!</v>
      </c>
    </row>
    <row r="34" spans="1:2" ht="12.75" customHeight="1">
      <c r="A34" s="70" t="s">
        <v>491</v>
      </c>
      <c r="B34" s="72" t="e">
        <f>t6casecount</f>
        <v>#REF!</v>
      </c>
    </row>
    <row r="35" spans="1:2" ht="12.75" customHeight="1">
      <c r="A35" s="70" t="s">
        <v>492</v>
      </c>
      <c r="B35" s="75" t="e">
        <f>t6yobgpercap</f>
        <v>#REF!</v>
      </c>
    </row>
    <row r="36" spans="1:2" ht="12.75" customHeight="1">
      <c r="A36" s="70" t="s">
        <v>493</v>
      </c>
      <c r="B36" s="75" t="e">
        <f>t6totpercap</f>
        <v>#REF!</v>
      </c>
    </row>
    <row r="37" spans="1:2" ht="12.75" customHeight="1">
      <c r="A37" s="70" t="s">
        <v>494</v>
      </c>
      <c r="B37" s="72" t="e">
        <f>t6youth1</f>
        <v>#REF!</v>
      </c>
    </row>
    <row r="38" spans="1:2" ht="12.75" customHeight="1">
      <c r="A38" s="70" t="s">
        <v>495</v>
      </c>
      <c r="B38" s="72" t="e">
        <f>t6youth2</f>
        <v>#REF!</v>
      </c>
    </row>
    <row r="39" spans="1:2" ht="12.75" customHeight="1">
      <c r="A39" s="70" t="s">
        <v>496</v>
      </c>
      <c r="B39" s="72" t="e">
        <f>t6youth3</f>
        <v>#REF!</v>
      </c>
    </row>
    <row r="40" spans="1:2" ht="12.75" customHeight="1">
      <c r="A40" s="70" t="s">
        <v>497</v>
      </c>
      <c r="B40" s="72" t="e">
        <f>t6youth4</f>
        <v>#REF!</v>
      </c>
    </row>
    <row r="41" spans="1:2" ht="12.75" customHeight="1">
      <c r="A41" s="70" t="s">
        <v>498</v>
      </c>
      <c r="B41" s="72" t="e">
        <f>t6youth5</f>
        <v>#REF!</v>
      </c>
    </row>
    <row r="42" spans="1:2" ht="12.75" customHeight="1">
      <c r="A42" s="70" t="s">
        <v>499</v>
      </c>
      <c r="B42" s="72" t="e">
        <f>t6youth6</f>
        <v>#REF!</v>
      </c>
    </row>
    <row r="43" spans="1:2" ht="12.75" customHeight="1">
      <c r="A43" s="70" t="s">
        <v>500</v>
      </c>
      <c r="B43" s="70" t="e">
        <f>Numecodet7</f>
        <v>#REF!</v>
      </c>
    </row>
    <row r="44" spans="1:2" ht="12.75" customHeight="1">
      <c r="A44" s="70" t="s">
        <v>501</v>
      </c>
      <c r="B44" s="70" t="e">
        <f>Numealtt7</f>
        <v>#REF!</v>
      </c>
    </row>
    <row r="45" spans="1:2" ht="12.75" customHeight="1">
      <c r="A45" s="70" t="s">
        <v>502</v>
      </c>
      <c r="B45" s="74" t="e">
        <f>t7yobgsal</f>
        <v>#REF!</v>
      </c>
    </row>
    <row r="46" spans="1:2" ht="12.75" customHeight="1">
      <c r="A46" s="70" t="s">
        <v>503</v>
      </c>
      <c r="B46" s="74" t="e">
        <f>t7yobgserv</f>
        <v>#REF!</v>
      </c>
    </row>
    <row r="47" spans="1:2" ht="12.75" customHeight="1">
      <c r="A47" s="70" t="s">
        <v>504</v>
      </c>
      <c r="B47" s="74" t="e">
        <f>t7yobgprof</f>
        <v>#REF!</v>
      </c>
    </row>
    <row r="48" spans="1:2" ht="12.75" customHeight="1">
      <c r="A48" s="70" t="s">
        <v>505</v>
      </c>
      <c r="B48" s="74" t="e">
        <f>t7yobgcbo</f>
        <v>#REF!</v>
      </c>
    </row>
    <row r="49" spans="1:2" ht="12.75" customHeight="1">
      <c r="A49" s="70" t="s">
        <v>506</v>
      </c>
      <c r="B49" s="74" t="e">
        <f>t7yobgequip</f>
        <v>#REF!</v>
      </c>
    </row>
    <row r="50" spans="1:2" ht="12.75" customHeight="1">
      <c r="A50" s="70" t="s">
        <v>507</v>
      </c>
      <c r="B50" s="74" t="e">
        <f>t7yobgadmin</f>
        <v>#REF!</v>
      </c>
    </row>
    <row r="51" spans="1:2" ht="12.75" customHeight="1">
      <c r="A51" s="70" t="s">
        <v>508</v>
      </c>
      <c r="B51" s="74" t="e">
        <f>t7yobgothr1</f>
        <v>#REF!</v>
      </c>
    </row>
    <row r="52" spans="1:2" ht="12.75" customHeight="1">
      <c r="A52" s="70" t="s">
        <v>509</v>
      </c>
      <c r="B52" s="74" t="e">
        <f>t7yobgothr2</f>
        <v>#REF!</v>
      </c>
    </row>
    <row r="53" spans="1:2" ht="12.75" customHeight="1">
      <c r="A53" s="70" t="s">
        <v>510</v>
      </c>
      <c r="B53" s="74" t="e">
        <f>t7yobgothr3</f>
        <v>#REF!</v>
      </c>
    </row>
    <row r="54" spans="1:2" ht="12.75" customHeight="1">
      <c r="A54" s="70" t="s">
        <v>511</v>
      </c>
      <c r="B54" s="74" t="e">
        <f>t7yobgtot</f>
        <v>#REF!</v>
      </c>
    </row>
    <row r="55" spans="1:2" ht="12.75" customHeight="1">
      <c r="A55" s="70" t="s">
        <v>512</v>
      </c>
      <c r="B55" s="74" t="e">
        <f>t7jjcpasal</f>
        <v>#REF!</v>
      </c>
    </row>
    <row r="56" spans="1:2" ht="12.75" customHeight="1">
      <c r="A56" s="70" t="s">
        <v>513</v>
      </c>
      <c r="B56" s="74" t="e">
        <f>t7jjcpaserv</f>
        <v>#REF!</v>
      </c>
    </row>
    <row r="57" spans="1:2" ht="12.75" customHeight="1">
      <c r="A57" s="70" t="s">
        <v>514</v>
      </c>
      <c r="B57" s="74" t="e">
        <f>t7jjcpaprof</f>
        <v>#REF!</v>
      </c>
    </row>
    <row r="58" spans="1:2" ht="12.75" customHeight="1">
      <c r="A58" s="70" t="s">
        <v>515</v>
      </c>
      <c r="B58" s="74" t="e">
        <f>t7jjcpacbo</f>
        <v>#REF!</v>
      </c>
    </row>
    <row r="59" spans="1:2" ht="12.75" customHeight="1">
      <c r="A59" s="70" t="s">
        <v>516</v>
      </c>
      <c r="B59" s="74" t="e">
        <f>t7jjcpaequip</f>
        <v>#REF!</v>
      </c>
    </row>
    <row r="60" spans="1:2" ht="12.75" customHeight="1">
      <c r="A60" s="70" t="s">
        <v>517</v>
      </c>
      <c r="B60" s="74" t="e">
        <f>t7jjcpaadmin</f>
        <v>#REF!</v>
      </c>
    </row>
    <row r="61" spans="1:2" ht="12.75" customHeight="1">
      <c r="A61" s="70" t="s">
        <v>518</v>
      </c>
      <c r="B61" s="74" t="e">
        <f>t7jjcpaothr1</f>
        <v>#REF!</v>
      </c>
    </row>
    <row r="62" spans="1:2" ht="12.75" customHeight="1">
      <c r="A62" s="70" t="s">
        <v>519</v>
      </c>
      <c r="B62" s="74" t="e">
        <f>t7jjcpaothr2</f>
        <v>#REF!</v>
      </c>
    </row>
    <row r="63" spans="1:2" ht="12.75" customHeight="1">
      <c r="A63" s="70" t="s">
        <v>520</v>
      </c>
      <c r="B63" s="74" t="e">
        <f>t7jjcpaothr3</f>
        <v>#REF!</v>
      </c>
    </row>
    <row r="64" spans="1:2" ht="12.75" customHeight="1">
      <c r="A64" s="70" t="s">
        <v>521</v>
      </c>
      <c r="B64" s="74" t="e">
        <f>t7jjcpatot</f>
        <v>#REF!</v>
      </c>
    </row>
    <row r="65" spans="1:2" ht="12.75" customHeight="1">
      <c r="A65" s="70" t="s">
        <v>522</v>
      </c>
      <c r="B65" s="74" t="e">
        <f>t7othersal</f>
        <v>#REF!</v>
      </c>
    </row>
    <row r="66" spans="1:2" ht="12.75" customHeight="1">
      <c r="A66" s="70" t="s">
        <v>523</v>
      </c>
      <c r="B66" s="74" t="e">
        <f>t7otherserv</f>
        <v>#REF!</v>
      </c>
    </row>
    <row r="67" spans="1:2" ht="12.75" customHeight="1">
      <c r="A67" s="70" t="s">
        <v>524</v>
      </c>
      <c r="B67" s="74" t="e">
        <f>t7otherprof</f>
        <v>#REF!</v>
      </c>
    </row>
    <row r="68" spans="1:2" ht="12.75" customHeight="1">
      <c r="A68" s="70" t="s">
        <v>525</v>
      </c>
      <c r="B68" s="74" t="e">
        <f>t7othercbo</f>
        <v>#REF!</v>
      </c>
    </row>
    <row r="69" spans="1:2" ht="12.75" customHeight="1">
      <c r="A69" s="70" t="s">
        <v>526</v>
      </c>
      <c r="B69" s="74" t="e">
        <f>t7otherequip</f>
        <v>#REF!</v>
      </c>
    </row>
    <row r="70" spans="1:2" ht="12.75" customHeight="1">
      <c r="A70" s="70" t="s">
        <v>527</v>
      </c>
      <c r="B70" s="74" t="e">
        <f>t7otheradmin</f>
        <v>#REF!</v>
      </c>
    </row>
    <row r="71" spans="1:2" ht="12.75" customHeight="1">
      <c r="A71" s="70" t="s">
        <v>528</v>
      </c>
      <c r="B71" s="74" t="e">
        <f>t7otherothr1</f>
        <v>#REF!</v>
      </c>
    </row>
    <row r="72" spans="1:2" ht="12.75" customHeight="1">
      <c r="A72" s="70" t="s">
        <v>529</v>
      </c>
      <c r="B72" s="74" t="e">
        <f>t7otherothr2</f>
        <v>#REF!</v>
      </c>
    </row>
    <row r="73" spans="1:2" ht="12.75" customHeight="1">
      <c r="A73" s="70" t="s">
        <v>530</v>
      </c>
      <c r="B73" s="74" t="e">
        <f>t7otherothr3</f>
        <v>#REF!</v>
      </c>
    </row>
    <row r="74" spans="1:2" ht="12.75" customHeight="1">
      <c r="A74" s="70" t="s">
        <v>531</v>
      </c>
      <c r="B74" s="74" t="e">
        <f>t7othertot</f>
        <v>#REF!</v>
      </c>
    </row>
    <row r="75" spans="1:2" ht="12.75" customHeight="1">
      <c r="A75" s="70" t="s">
        <v>532</v>
      </c>
      <c r="B75" s="72" t="e">
        <f>t7casecount</f>
        <v>#REF!</v>
      </c>
    </row>
    <row r="76" spans="1:2" ht="12.75" customHeight="1">
      <c r="A76" s="70" t="s">
        <v>533</v>
      </c>
      <c r="B76" s="75" t="e">
        <f>t7yobgpercap</f>
        <v>#REF!</v>
      </c>
    </row>
    <row r="77" spans="1:2" ht="12.75" customHeight="1">
      <c r="A77" s="70" t="s">
        <v>534</v>
      </c>
      <c r="B77" s="75" t="e">
        <f>t7totpercap</f>
        <v>#REF!</v>
      </c>
    </row>
    <row r="78" spans="1:2" ht="12.75" customHeight="1">
      <c r="A78" s="70" t="s">
        <v>535</v>
      </c>
      <c r="B78" s="72" t="e">
        <f>t7youth1</f>
        <v>#REF!</v>
      </c>
    </row>
    <row r="79" spans="1:2" ht="12.75" customHeight="1">
      <c r="A79" s="70" t="s">
        <v>536</v>
      </c>
      <c r="B79" s="72" t="e">
        <f>t7youth2</f>
        <v>#REF!</v>
      </c>
    </row>
    <row r="80" spans="1:2" ht="12.75" customHeight="1">
      <c r="A80" s="70" t="s">
        <v>537</v>
      </c>
      <c r="B80" s="72" t="e">
        <f>t7youth3</f>
        <v>#REF!</v>
      </c>
    </row>
    <row r="81" spans="1:2" ht="12.75" customHeight="1">
      <c r="A81" s="70" t="s">
        <v>538</v>
      </c>
      <c r="B81" s="72" t="e">
        <f>t7youth4</f>
        <v>#REF!</v>
      </c>
    </row>
    <row r="82" spans="1:2" ht="12.75" customHeight="1">
      <c r="A82" s="70" t="s">
        <v>539</v>
      </c>
      <c r="B82" s="72" t="e">
        <f>t7youth5</f>
        <v>#REF!</v>
      </c>
    </row>
    <row r="83" spans="1:2" ht="12.75" customHeight="1">
      <c r="A83" s="70" t="s">
        <v>540</v>
      </c>
      <c r="B83" s="72" t="e">
        <f>t7youth6</f>
        <v>#REF!</v>
      </c>
    </row>
    <row r="84" spans="1:2" ht="12.75" customHeight="1">
      <c r="A84" s="70" t="s">
        <v>541</v>
      </c>
      <c r="B84" s="70" t="e">
        <f>Numecodet8</f>
        <v>#REF!</v>
      </c>
    </row>
    <row r="85" spans="1:2" ht="12.75" customHeight="1">
      <c r="A85" s="70" t="s">
        <v>542</v>
      </c>
      <c r="B85" s="70" t="e">
        <f>Numealtt8</f>
        <v>#REF!</v>
      </c>
    </row>
    <row r="86" spans="1:2" ht="12.75" customHeight="1">
      <c r="A86" s="70" t="s">
        <v>543</v>
      </c>
      <c r="B86" s="74" t="e">
        <f>t8yobgsal</f>
        <v>#REF!</v>
      </c>
    </row>
    <row r="87" spans="1:2" ht="12.75" customHeight="1">
      <c r="A87" s="70" t="s">
        <v>544</v>
      </c>
      <c r="B87" s="74" t="e">
        <f>t8yobgserv</f>
        <v>#REF!</v>
      </c>
    </row>
    <row r="88" spans="1:2" ht="12.75" customHeight="1">
      <c r="A88" s="70" t="s">
        <v>545</v>
      </c>
      <c r="B88" s="74" t="e">
        <f>t8yobgprof</f>
        <v>#REF!</v>
      </c>
    </row>
    <row r="89" spans="1:2" ht="12.75" customHeight="1">
      <c r="A89" s="70" t="s">
        <v>546</v>
      </c>
      <c r="B89" s="74" t="e">
        <f>t8yobgcbo</f>
        <v>#REF!</v>
      </c>
    </row>
    <row r="90" spans="1:2" ht="12.75" customHeight="1">
      <c r="A90" s="70" t="s">
        <v>547</v>
      </c>
      <c r="B90" s="74" t="e">
        <f>t8yobgequip</f>
        <v>#REF!</v>
      </c>
    </row>
    <row r="91" spans="1:2" ht="12.75" customHeight="1">
      <c r="A91" s="70" t="s">
        <v>548</v>
      </c>
      <c r="B91" s="74" t="e">
        <f>t8yobgadmin</f>
        <v>#REF!</v>
      </c>
    </row>
    <row r="92" spans="1:2" ht="12.75" customHeight="1">
      <c r="A92" s="70" t="s">
        <v>549</v>
      </c>
      <c r="B92" s="74" t="e">
        <f>t8yobgothr1</f>
        <v>#REF!</v>
      </c>
    </row>
    <row r="93" spans="1:2" ht="12.75" customHeight="1">
      <c r="A93" s="70" t="s">
        <v>550</v>
      </c>
      <c r="B93" s="74" t="e">
        <f>t8yobgothr2</f>
        <v>#REF!</v>
      </c>
    </row>
    <row r="94" spans="1:2" ht="12.75" customHeight="1">
      <c r="A94" s="70" t="s">
        <v>551</v>
      </c>
      <c r="B94" s="74" t="e">
        <f>t8yobgothr3</f>
        <v>#REF!</v>
      </c>
    </row>
    <row r="95" spans="1:2" ht="12.75" customHeight="1">
      <c r="A95" s="70" t="s">
        <v>552</v>
      </c>
      <c r="B95" s="74" t="e">
        <f>t8yobgtot</f>
        <v>#REF!</v>
      </c>
    </row>
    <row r="96" spans="1:2" ht="12.75" customHeight="1">
      <c r="A96" s="70" t="s">
        <v>553</v>
      </c>
      <c r="B96" s="74" t="e">
        <f>t8jjcpasal</f>
        <v>#REF!</v>
      </c>
    </row>
    <row r="97" spans="1:2" ht="12.75" customHeight="1">
      <c r="A97" s="70" t="s">
        <v>554</v>
      </c>
      <c r="B97" s="74" t="e">
        <f>t8jjcpaserv</f>
        <v>#REF!</v>
      </c>
    </row>
    <row r="98" spans="1:2" ht="12.75" customHeight="1">
      <c r="A98" s="70" t="s">
        <v>555</v>
      </c>
      <c r="B98" s="74" t="e">
        <f>t8jjcpaprof</f>
        <v>#REF!</v>
      </c>
    </row>
    <row r="99" spans="1:2" ht="12.75" customHeight="1">
      <c r="A99" s="70" t="s">
        <v>556</v>
      </c>
      <c r="B99" s="74" t="e">
        <f>t8jjcpacbo</f>
        <v>#REF!</v>
      </c>
    </row>
    <row r="100" spans="1:2" ht="12.75" customHeight="1">
      <c r="A100" s="70" t="s">
        <v>557</v>
      </c>
      <c r="B100" s="74" t="e">
        <f>t8jjcpaequip</f>
        <v>#REF!</v>
      </c>
    </row>
    <row r="101" spans="1:2" ht="12.75" customHeight="1">
      <c r="A101" s="70" t="s">
        <v>558</v>
      </c>
      <c r="B101" s="74" t="e">
        <f>t8jjcpaadmin</f>
        <v>#REF!</v>
      </c>
    </row>
    <row r="102" spans="1:2" ht="12.75" customHeight="1">
      <c r="A102" s="70" t="s">
        <v>559</v>
      </c>
      <c r="B102" s="74" t="e">
        <f>t8jjcpaothr1</f>
        <v>#REF!</v>
      </c>
    </row>
    <row r="103" spans="1:2" ht="12.75" customHeight="1">
      <c r="A103" s="70" t="s">
        <v>560</v>
      </c>
      <c r="B103" s="74" t="e">
        <f>t8jjcpaothr2</f>
        <v>#REF!</v>
      </c>
    </row>
    <row r="104" spans="1:2" ht="12.75" customHeight="1">
      <c r="A104" s="70" t="s">
        <v>561</v>
      </c>
      <c r="B104" s="74" t="e">
        <f>t8jjcpaothr3</f>
        <v>#REF!</v>
      </c>
    </row>
    <row r="105" spans="1:2" ht="12.75" customHeight="1">
      <c r="A105" s="70" t="s">
        <v>562</v>
      </c>
      <c r="B105" s="74" t="e">
        <f>t8jjcpatot</f>
        <v>#REF!</v>
      </c>
    </row>
    <row r="106" spans="1:2" ht="12.75" customHeight="1">
      <c r="A106" s="70" t="s">
        <v>563</v>
      </c>
      <c r="B106" s="74" t="e">
        <f>t8othersal</f>
        <v>#REF!</v>
      </c>
    </row>
    <row r="107" spans="1:2" ht="12.75" customHeight="1">
      <c r="A107" s="70" t="s">
        <v>564</v>
      </c>
      <c r="B107" s="74" t="e">
        <f>t8otherserv</f>
        <v>#REF!</v>
      </c>
    </row>
    <row r="108" spans="1:2" ht="12.75" customHeight="1">
      <c r="A108" s="70" t="s">
        <v>565</v>
      </c>
      <c r="B108" s="74" t="e">
        <f>t8otherprof</f>
        <v>#REF!</v>
      </c>
    </row>
    <row r="109" spans="1:2" ht="12.75" customHeight="1">
      <c r="A109" s="70" t="s">
        <v>566</v>
      </c>
      <c r="B109" s="74" t="e">
        <f>t8othercbo</f>
        <v>#REF!</v>
      </c>
    </row>
    <row r="110" spans="1:2" ht="12.75" customHeight="1">
      <c r="A110" s="70" t="s">
        <v>567</v>
      </c>
      <c r="B110" s="74" t="e">
        <f>t8otherequip</f>
        <v>#REF!</v>
      </c>
    </row>
    <row r="111" spans="1:2" ht="12.75" customHeight="1">
      <c r="A111" s="70" t="s">
        <v>568</v>
      </c>
      <c r="B111" s="74" t="e">
        <f>t8otheradmin</f>
        <v>#REF!</v>
      </c>
    </row>
    <row r="112" spans="1:2" ht="12.75" customHeight="1">
      <c r="A112" s="70" t="s">
        <v>569</v>
      </c>
      <c r="B112" s="74" t="e">
        <f>t8otherothr1</f>
        <v>#REF!</v>
      </c>
    </row>
    <row r="113" spans="1:2" ht="12.75" customHeight="1">
      <c r="A113" s="70" t="s">
        <v>570</v>
      </c>
      <c r="B113" s="74" t="e">
        <f>t8otherothr2</f>
        <v>#REF!</v>
      </c>
    </row>
    <row r="114" spans="1:2" ht="12.75" customHeight="1">
      <c r="A114" s="70" t="s">
        <v>571</v>
      </c>
      <c r="B114" s="74" t="e">
        <f>t8otherothr3</f>
        <v>#REF!</v>
      </c>
    </row>
    <row r="115" spans="1:2" ht="12.75" customHeight="1">
      <c r="A115" s="70" t="s">
        <v>572</v>
      </c>
      <c r="B115" s="74" t="e">
        <f>t8othertot</f>
        <v>#REF!</v>
      </c>
    </row>
    <row r="116" spans="1:2" ht="12.75" customHeight="1">
      <c r="A116" s="70" t="s">
        <v>573</v>
      </c>
      <c r="B116" s="72" t="e">
        <f>t8casecount</f>
        <v>#REF!</v>
      </c>
    </row>
    <row r="117" spans="1:2" ht="12.75" customHeight="1">
      <c r="A117" s="70" t="s">
        <v>574</v>
      </c>
      <c r="B117" s="75" t="e">
        <f>t8yobgpercap</f>
        <v>#REF!</v>
      </c>
    </row>
    <row r="118" spans="1:2" ht="12.75" customHeight="1">
      <c r="A118" s="70" t="s">
        <v>575</v>
      </c>
      <c r="B118" s="75" t="e">
        <f>t8totpercap</f>
        <v>#REF!</v>
      </c>
    </row>
    <row r="119" spans="1:2" ht="12.75" customHeight="1">
      <c r="A119" s="70" t="s">
        <v>576</v>
      </c>
      <c r="B119" s="72" t="e">
        <f>t8youth1</f>
        <v>#REF!</v>
      </c>
    </row>
    <row r="120" spans="1:2" ht="12.75" customHeight="1">
      <c r="A120" s="70" t="s">
        <v>577</v>
      </c>
      <c r="B120" s="72" t="e">
        <f>t8youth2</f>
        <v>#REF!</v>
      </c>
    </row>
    <row r="121" spans="1:2" ht="12.75" customHeight="1">
      <c r="A121" s="70" t="s">
        <v>578</v>
      </c>
      <c r="B121" s="72" t="e">
        <f>t8youth3</f>
        <v>#REF!</v>
      </c>
    </row>
    <row r="122" spans="1:2" ht="12.75" customHeight="1">
      <c r="A122" s="70" t="s">
        <v>579</v>
      </c>
      <c r="B122" s="72" t="e">
        <f>t8youth4</f>
        <v>#REF!</v>
      </c>
    </row>
    <row r="123" spans="1:2" ht="12.75" customHeight="1">
      <c r="A123" s="70" t="s">
        <v>580</v>
      </c>
      <c r="B123" s="72" t="e">
        <f>t8youth5</f>
        <v>#REF!</v>
      </c>
    </row>
    <row r="124" spans="1:2" ht="12.75" customHeight="1">
      <c r="A124" s="70" t="s">
        <v>581</v>
      </c>
      <c r="B124" s="72" t="e">
        <f>t8youth6</f>
        <v>#REF!</v>
      </c>
    </row>
    <row r="125" spans="1:2" ht="12.75" customHeight="1">
      <c r="A125" s="70" t="s">
        <v>582</v>
      </c>
      <c r="B125" s="70" t="e">
        <f>Numecodet9</f>
        <v>#REF!</v>
      </c>
    </row>
    <row r="126" spans="1:2" ht="12.75" customHeight="1">
      <c r="A126" s="70" t="s">
        <v>583</v>
      </c>
      <c r="B126" s="70" t="e">
        <f>Numealtt9</f>
        <v>#REF!</v>
      </c>
    </row>
    <row r="127" spans="1:2" ht="12.75" customHeight="1">
      <c r="A127" s="70" t="s">
        <v>584</v>
      </c>
      <c r="B127" s="74" t="e">
        <f>t9yobgsal</f>
        <v>#REF!</v>
      </c>
    </row>
    <row r="128" spans="1:2" ht="12.75" customHeight="1">
      <c r="A128" s="70" t="s">
        <v>585</v>
      </c>
      <c r="B128" s="74" t="e">
        <f>t9yobgserv</f>
        <v>#REF!</v>
      </c>
    </row>
    <row r="129" spans="1:2" ht="12.75" customHeight="1">
      <c r="A129" s="70" t="s">
        <v>586</v>
      </c>
      <c r="B129" s="74" t="e">
        <f>t9yobgprof</f>
        <v>#REF!</v>
      </c>
    </row>
    <row r="130" spans="1:2" ht="12.75" customHeight="1">
      <c r="A130" s="70" t="s">
        <v>587</v>
      </c>
      <c r="B130" s="74" t="e">
        <f>t9yobgcbo</f>
        <v>#REF!</v>
      </c>
    </row>
    <row r="131" spans="1:2" ht="12.75" customHeight="1">
      <c r="A131" s="70" t="s">
        <v>588</v>
      </c>
      <c r="B131" s="74" t="e">
        <f>t9yobgequip</f>
        <v>#REF!</v>
      </c>
    </row>
    <row r="132" spans="1:2" ht="12.75" customHeight="1">
      <c r="A132" s="70" t="s">
        <v>589</v>
      </c>
      <c r="B132" s="74" t="e">
        <f>t9yobgadmin</f>
        <v>#REF!</v>
      </c>
    </row>
    <row r="133" spans="1:2" ht="12.75" customHeight="1">
      <c r="A133" s="70" t="s">
        <v>590</v>
      </c>
      <c r="B133" s="74" t="e">
        <f>t9yobgothr1</f>
        <v>#REF!</v>
      </c>
    </row>
    <row r="134" spans="1:2" ht="12.75" customHeight="1">
      <c r="A134" s="70" t="s">
        <v>591</v>
      </c>
      <c r="B134" s="74" t="e">
        <f>t9yobgothr2</f>
        <v>#REF!</v>
      </c>
    </row>
    <row r="135" spans="1:2" ht="12.75" customHeight="1">
      <c r="A135" s="70" t="s">
        <v>592</v>
      </c>
      <c r="B135" s="74" t="e">
        <f>t9yobgothr3</f>
        <v>#REF!</v>
      </c>
    </row>
    <row r="136" spans="1:2" ht="12.75" customHeight="1">
      <c r="A136" s="70" t="s">
        <v>593</v>
      </c>
      <c r="B136" s="74" t="e">
        <f>t9yobgtot</f>
        <v>#REF!</v>
      </c>
    </row>
    <row r="137" spans="1:2" ht="12.75" customHeight="1">
      <c r="A137" s="70" t="s">
        <v>594</v>
      </c>
      <c r="B137" s="74" t="e">
        <f>t9jjcpasal</f>
        <v>#REF!</v>
      </c>
    </row>
    <row r="138" spans="1:2" ht="12.75" customHeight="1">
      <c r="A138" s="70" t="s">
        <v>595</v>
      </c>
      <c r="B138" s="74" t="e">
        <f>t9jjcpaserv</f>
        <v>#REF!</v>
      </c>
    </row>
    <row r="139" spans="1:2" ht="12.75" customHeight="1">
      <c r="A139" s="70" t="s">
        <v>596</v>
      </c>
      <c r="B139" s="74" t="e">
        <f>t9jjcpaprof</f>
        <v>#REF!</v>
      </c>
    </row>
    <row r="140" spans="1:2" ht="12.75" customHeight="1">
      <c r="A140" s="70" t="s">
        <v>597</v>
      </c>
      <c r="B140" s="74" t="e">
        <f>t9jjcpacbo</f>
        <v>#REF!</v>
      </c>
    </row>
    <row r="141" spans="1:2" ht="12.75" customHeight="1">
      <c r="A141" s="70" t="s">
        <v>598</v>
      </c>
      <c r="B141" s="74" t="e">
        <f>t9jjcpaequip</f>
        <v>#REF!</v>
      </c>
    </row>
    <row r="142" spans="1:2" ht="12.75" customHeight="1">
      <c r="A142" s="70" t="s">
        <v>599</v>
      </c>
      <c r="B142" s="74" t="e">
        <f>t9jjcpaadmin</f>
        <v>#REF!</v>
      </c>
    </row>
    <row r="143" spans="1:2" ht="12.75" customHeight="1">
      <c r="A143" s="70" t="s">
        <v>600</v>
      </c>
      <c r="B143" s="74" t="e">
        <f>t9jjcpaothr1</f>
        <v>#REF!</v>
      </c>
    </row>
    <row r="144" spans="1:2" ht="12.75" customHeight="1">
      <c r="A144" s="70" t="s">
        <v>601</v>
      </c>
      <c r="B144" s="74" t="e">
        <f>t9jjcpaothr2</f>
        <v>#REF!</v>
      </c>
    </row>
    <row r="145" spans="1:2" ht="12.75" customHeight="1">
      <c r="A145" s="70" t="s">
        <v>602</v>
      </c>
      <c r="B145" s="74" t="e">
        <f>t9jjcpaothr3</f>
        <v>#REF!</v>
      </c>
    </row>
    <row r="146" spans="1:2" ht="12.75" customHeight="1">
      <c r="A146" s="70" t="s">
        <v>603</v>
      </c>
      <c r="B146" s="74" t="e">
        <f>t9jjcpatot</f>
        <v>#REF!</v>
      </c>
    </row>
    <row r="147" spans="1:2" ht="12.75" customHeight="1">
      <c r="A147" s="70" t="s">
        <v>604</v>
      </c>
      <c r="B147" s="74" t="e">
        <f>t9othersal</f>
        <v>#REF!</v>
      </c>
    </row>
    <row r="148" spans="1:2" ht="12.75" customHeight="1">
      <c r="A148" s="70" t="s">
        <v>605</v>
      </c>
      <c r="B148" s="74" t="e">
        <f>t9otherserv</f>
        <v>#REF!</v>
      </c>
    </row>
    <row r="149" spans="1:2" ht="12.75" customHeight="1">
      <c r="A149" s="70" t="s">
        <v>606</v>
      </c>
      <c r="B149" s="74" t="e">
        <f>t9otherprof</f>
        <v>#REF!</v>
      </c>
    </row>
    <row r="150" spans="1:2" ht="12.75" customHeight="1">
      <c r="A150" s="70" t="s">
        <v>607</v>
      </c>
      <c r="B150" s="74" t="e">
        <f>t9othercbo</f>
        <v>#REF!</v>
      </c>
    </row>
    <row r="151" spans="1:2" ht="12.75" customHeight="1">
      <c r="A151" s="70" t="s">
        <v>608</v>
      </c>
      <c r="B151" s="74" t="e">
        <f>t9otherequip</f>
        <v>#REF!</v>
      </c>
    </row>
    <row r="152" spans="1:2" ht="12.75" customHeight="1">
      <c r="A152" s="70" t="s">
        <v>609</v>
      </c>
      <c r="B152" s="74" t="e">
        <f>t9otheradmin</f>
        <v>#REF!</v>
      </c>
    </row>
    <row r="153" spans="1:2" ht="12.75" customHeight="1">
      <c r="A153" s="70" t="s">
        <v>610</v>
      </c>
      <c r="B153" s="74" t="e">
        <f>t9otherothr1</f>
        <v>#REF!</v>
      </c>
    </row>
    <row r="154" spans="1:2" ht="12.75" customHeight="1">
      <c r="A154" s="70" t="s">
        <v>611</v>
      </c>
      <c r="B154" s="74" t="e">
        <f>t9otherothr2</f>
        <v>#REF!</v>
      </c>
    </row>
    <row r="155" spans="1:2" ht="12.75" customHeight="1">
      <c r="A155" s="70" t="s">
        <v>612</v>
      </c>
      <c r="B155" s="74" t="e">
        <f>t9otherothr3</f>
        <v>#REF!</v>
      </c>
    </row>
    <row r="156" spans="1:2" ht="12.75" customHeight="1">
      <c r="A156" s="70" t="s">
        <v>613</v>
      </c>
      <c r="B156" s="74" t="e">
        <f>t9othertot</f>
        <v>#REF!</v>
      </c>
    </row>
    <row r="157" spans="1:2" ht="12.75" customHeight="1">
      <c r="A157" s="70" t="s">
        <v>614</v>
      </c>
      <c r="B157" s="72" t="e">
        <f>t9casecount</f>
        <v>#REF!</v>
      </c>
    </row>
    <row r="158" spans="1:2" ht="12.75" customHeight="1">
      <c r="A158" s="70" t="s">
        <v>615</v>
      </c>
      <c r="B158" s="75" t="e">
        <f>t9yobgpercap</f>
        <v>#REF!</v>
      </c>
    </row>
    <row r="159" spans="1:2" ht="12.75" customHeight="1">
      <c r="A159" s="70" t="s">
        <v>616</v>
      </c>
      <c r="B159" s="75" t="e">
        <f>t9totpercap</f>
        <v>#REF!</v>
      </c>
    </row>
    <row r="160" spans="1:2" ht="12.75" customHeight="1">
      <c r="A160" s="70" t="s">
        <v>617</v>
      </c>
      <c r="B160" s="72" t="e">
        <f>t9youth1</f>
        <v>#REF!</v>
      </c>
    </row>
    <row r="161" spans="1:2" ht="12.75" customHeight="1">
      <c r="A161" s="70" t="s">
        <v>618</v>
      </c>
      <c r="B161" s="72" t="e">
        <f>t9youth2</f>
        <v>#REF!</v>
      </c>
    </row>
    <row r="162" spans="1:2" ht="12.75" customHeight="1">
      <c r="A162" s="70" t="s">
        <v>619</v>
      </c>
      <c r="B162" s="72" t="e">
        <f>t9youth3</f>
        <v>#REF!</v>
      </c>
    </row>
    <row r="163" spans="1:2" ht="12.75" customHeight="1">
      <c r="A163" s="70" t="s">
        <v>620</v>
      </c>
      <c r="B163" s="72" t="e">
        <f>t9youth4</f>
        <v>#REF!</v>
      </c>
    </row>
    <row r="164" spans="1:2" ht="12.75" customHeight="1">
      <c r="A164" s="70" t="s">
        <v>621</v>
      </c>
      <c r="B164" s="72" t="e">
        <f>t9youth5</f>
        <v>#REF!</v>
      </c>
    </row>
    <row r="165" spans="1:2" ht="12.75" customHeight="1">
      <c r="A165" s="70" t="s">
        <v>622</v>
      </c>
      <c r="B165" s="72" t="e">
        <f>t9youth6</f>
        <v>#REF!</v>
      </c>
    </row>
    <row r="166" spans="1:2" ht="12.75" customHeight="1">
      <c r="A166" s="70" t="s">
        <v>623</v>
      </c>
      <c r="B166" s="70" t="e">
        <f>Numecodet10</f>
        <v>#REF!</v>
      </c>
    </row>
    <row r="167" spans="1:2" ht="12.75" customHeight="1">
      <c r="A167" s="70" t="s">
        <v>624</v>
      </c>
      <c r="B167" s="70" t="e">
        <f>Numealtt10</f>
        <v>#REF!</v>
      </c>
    </row>
    <row r="168" spans="1:2" ht="12.75" customHeight="1">
      <c r="A168" s="70" t="s">
        <v>625</v>
      </c>
      <c r="B168" s="74" t="e">
        <f>t10yobgsal</f>
        <v>#REF!</v>
      </c>
    </row>
    <row r="169" spans="1:2" ht="12.75" customHeight="1">
      <c r="A169" s="70" t="s">
        <v>626</v>
      </c>
      <c r="B169" s="74" t="e">
        <f>t10yobgserv</f>
        <v>#REF!</v>
      </c>
    </row>
    <row r="170" spans="1:2" ht="12.75" customHeight="1">
      <c r="A170" s="70" t="s">
        <v>627</v>
      </c>
      <c r="B170" s="74" t="e">
        <f>t10yobgprof</f>
        <v>#REF!</v>
      </c>
    </row>
    <row r="171" spans="1:2" ht="12.75" customHeight="1">
      <c r="A171" s="70" t="s">
        <v>628</v>
      </c>
      <c r="B171" s="74" t="e">
        <f>t10yobgcbo</f>
        <v>#REF!</v>
      </c>
    </row>
    <row r="172" spans="1:2" ht="12.75" customHeight="1">
      <c r="A172" s="70" t="s">
        <v>629</v>
      </c>
      <c r="B172" s="74" t="e">
        <f>t10yobgequip</f>
        <v>#REF!</v>
      </c>
    </row>
    <row r="173" spans="1:2" ht="12.75" customHeight="1">
      <c r="A173" s="70" t="s">
        <v>630</v>
      </c>
      <c r="B173" s="74" t="e">
        <f>t10yobgadmin</f>
        <v>#REF!</v>
      </c>
    </row>
    <row r="174" spans="1:2" ht="12.75" customHeight="1">
      <c r="A174" s="70" t="s">
        <v>631</v>
      </c>
      <c r="B174" s="74" t="e">
        <f>t10yobgothr1</f>
        <v>#REF!</v>
      </c>
    </row>
    <row r="175" spans="1:2" ht="12.75" customHeight="1">
      <c r="A175" s="70" t="s">
        <v>632</v>
      </c>
      <c r="B175" s="74" t="e">
        <f>t10yobgothr2</f>
        <v>#REF!</v>
      </c>
    </row>
    <row r="176" spans="1:2" ht="12.75" customHeight="1">
      <c r="A176" s="70" t="s">
        <v>633</v>
      </c>
      <c r="B176" s="74" t="e">
        <f>t10yobgothr3</f>
        <v>#REF!</v>
      </c>
    </row>
    <row r="177" spans="1:2" ht="12.75" customHeight="1">
      <c r="A177" s="70" t="s">
        <v>634</v>
      </c>
      <c r="B177" s="74" t="e">
        <f>t10yobgtot</f>
        <v>#REF!</v>
      </c>
    </row>
    <row r="178" spans="1:2" ht="12.75" customHeight="1">
      <c r="A178" s="70" t="s">
        <v>635</v>
      </c>
      <c r="B178" s="74" t="e">
        <f>t10jjcpasal</f>
        <v>#REF!</v>
      </c>
    </row>
    <row r="179" spans="1:2" ht="12.75" customHeight="1">
      <c r="A179" s="70" t="s">
        <v>636</v>
      </c>
      <c r="B179" s="74" t="e">
        <f>t10jjcpaserv</f>
        <v>#REF!</v>
      </c>
    </row>
    <row r="180" spans="1:2" ht="12.75" customHeight="1">
      <c r="A180" s="70" t="s">
        <v>637</v>
      </c>
      <c r="B180" s="74" t="e">
        <f>t10jjcpaprof</f>
        <v>#REF!</v>
      </c>
    </row>
    <row r="181" spans="1:2" ht="12.75" customHeight="1">
      <c r="A181" s="70" t="s">
        <v>638</v>
      </c>
      <c r="B181" s="74" t="e">
        <f>t10jjcpacbo</f>
        <v>#REF!</v>
      </c>
    </row>
    <row r="182" spans="1:2" ht="12.75" customHeight="1">
      <c r="A182" s="70" t="s">
        <v>639</v>
      </c>
      <c r="B182" s="74" t="e">
        <f>t10jjcpaequip</f>
        <v>#REF!</v>
      </c>
    </row>
    <row r="183" spans="1:2" ht="12.75" customHeight="1">
      <c r="A183" s="70" t="s">
        <v>640</v>
      </c>
      <c r="B183" s="74" t="e">
        <f>t10jjcpaadmin</f>
        <v>#REF!</v>
      </c>
    </row>
    <row r="184" spans="1:2" ht="12.75" customHeight="1">
      <c r="A184" s="70" t="s">
        <v>641</v>
      </c>
      <c r="B184" s="74" t="e">
        <f>t10jjcpaothr1</f>
        <v>#REF!</v>
      </c>
    </row>
    <row r="185" spans="1:2" ht="12.75" customHeight="1">
      <c r="A185" s="70" t="s">
        <v>642</v>
      </c>
      <c r="B185" s="74" t="e">
        <f>t10jjcpaothr2</f>
        <v>#REF!</v>
      </c>
    </row>
    <row r="186" spans="1:2" ht="12.75" customHeight="1">
      <c r="A186" s="70" t="s">
        <v>643</v>
      </c>
      <c r="B186" s="74" t="e">
        <f>t10jjcpaothr3</f>
        <v>#REF!</v>
      </c>
    </row>
    <row r="187" spans="1:2" ht="12.75" customHeight="1">
      <c r="A187" s="70" t="s">
        <v>644</v>
      </c>
      <c r="B187" s="74" t="e">
        <f>t10jjcpatot</f>
        <v>#REF!</v>
      </c>
    </row>
    <row r="188" spans="1:2" ht="12.75" customHeight="1">
      <c r="A188" s="70" t="s">
        <v>645</v>
      </c>
      <c r="B188" s="74" t="e">
        <f>t10othersal</f>
        <v>#REF!</v>
      </c>
    </row>
    <row r="189" spans="1:2" ht="12.75" customHeight="1">
      <c r="A189" s="70" t="s">
        <v>646</v>
      </c>
      <c r="B189" s="74" t="e">
        <f>t10otherserv</f>
        <v>#REF!</v>
      </c>
    </row>
    <row r="190" spans="1:2" ht="12.75" customHeight="1">
      <c r="A190" s="70" t="s">
        <v>647</v>
      </c>
      <c r="B190" s="74" t="e">
        <f>t10otherprof</f>
        <v>#REF!</v>
      </c>
    </row>
    <row r="191" spans="1:2" ht="12.75" customHeight="1">
      <c r="A191" s="70" t="s">
        <v>648</v>
      </c>
      <c r="B191" s="74" t="e">
        <f>t10othercbo</f>
        <v>#REF!</v>
      </c>
    </row>
    <row r="192" spans="1:2" ht="12.75" customHeight="1">
      <c r="A192" s="70" t="s">
        <v>649</v>
      </c>
      <c r="B192" s="74" t="e">
        <f>t10otherequip</f>
        <v>#REF!</v>
      </c>
    </row>
    <row r="193" spans="1:2" ht="12.75" customHeight="1">
      <c r="A193" s="70" t="s">
        <v>650</v>
      </c>
      <c r="B193" s="74" t="e">
        <f>t10otheradmin</f>
        <v>#REF!</v>
      </c>
    </row>
    <row r="194" spans="1:2" ht="12.75" customHeight="1">
      <c r="A194" s="70" t="s">
        <v>651</v>
      </c>
      <c r="B194" s="74" t="e">
        <f>t10otherothr1</f>
        <v>#REF!</v>
      </c>
    </row>
    <row r="195" spans="1:2" ht="12.75" customHeight="1">
      <c r="A195" s="70" t="s">
        <v>652</v>
      </c>
      <c r="B195" s="74" t="e">
        <f>t10otherothr2</f>
        <v>#REF!</v>
      </c>
    </row>
    <row r="196" spans="1:2" ht="12.75" customHeight="1">
      <c r="A196" s="70" t="s">
        <v>653</v>
      </c>
      <c r="B196" s="74" t="e">
        <f>t10otherothr3</f>
        <v>#REF!</v>
      </c>
    </row>
    <row r="197" spans="1:2" ht="12.75" customHeight="1">
      <c r="A197" s="70" t="s">
        <v>654</v>
      </c>
      <c r="B197" s="74" t="e">
        <f>t10othertot</f>
        <v>#REF!</v>
      </c>
    </row>
    <row r="198" spans="1:2" ht="12.75" customHeight="1">
      <c r="A198" s="70" t="s">
        <v>655</v>
      </c>
      <c r="B198" s="72" t="e">
        <f>t10casecount</f>
        <v>#REF!</v>
      </c>
    </row>
    <row r="199" spans="1:2" ht="12.75" customHeight="1">
      <c r="A199" s="70" t="s">
        <v>656</v>
      </c>
      <c r="B199" s="75" t="e">
        <f>t10yobgpercap</f>
        <v>#REF!</v>
      </c>
    </row>
    <row r="200" spans="1:2" ht="12.75" customHeight="1">
      <c r="A200" s="70" t="s">
        <v>657</v>
      </c>
      <c r="B200" s="75" t="e">
        <f>t10totpercap</f>
        <v>#REF!</v>
      </c>
    </row>
    <row r="201" spans="1:2" ht="12.75" customHeight="1">
      <c r="A201" s="70" t="s">
        <v>658</v>
      </c>
      <c r="B201" s="72" t="e">
        <f>t10youth1</f>
        <v>#REF!</v>
      </c>
    </row>
    <row r="202" spans="1:2" ht="12.75" customHeight="1">
      <c r="A202" s="70" t="s">
        <v>659</v>
      </c>
      <c r="B202" s="72" t="e">
        <f>t10youth2</f>
        <v>#REF!</v>
      </c>
    </row>
    <row r="203" spans="1:2" ht="12.75" customHeight="1">
      <c r="A203" s="70" t="s">
        <v>660</v>
      </c>
      <c r="B203" s="72" t="e">
        <f>t10youth3</f>
        <v>#REF!</v>
      </c>
    </row>
    <row r="204" spans="1:2" ht="12.75" customHeight="1">
      <c r="A204" s="70" t="s">
        <v>661</v>
      </c>
      <c r="B204" s="72" t="e">
        <f>t10youth4</f>
        <v>#REF!</v>
      </c>
    </row>
    <row r="205" spans="1:2" ht="12.75" customHeight="1">
      <c r="A205" s="70" t="s">
        <v>662</v>
      </c>
      <c r="B205" s="72" t="e">
        <f>t10youth5</f>
        <v>#REF!</v>
      </c>
    </row>
    <row r="206" spans="1:2" ht="12.75" customHeight="1">
      <c r="A206" s="70" t="s">
        <v>663</v>
      </c>
      <c r="B206" s="72" t="e">
        <f>t10youth6</f>
        <v>#REF!</v>
      </c>
    </row>
    <row r="207" spans="1:2" ht="12.75" customHeight="1">
      <c r="A207" s="70" t="s">
        <v>664</v>
      </c>
      <c r="B207" s="72">
        <f>asi</f>
        <v>0</v>
      </c>
    </row>
    <row r="208" spans="1:2" ht="12.75" customHeight="1">
      <c r="A208" s="70" t="s">
        <v>198</v>
      </c>
      <c r="B208" s="72">
        <f>bot</f>
        <v>0</v>
      </c>
    </row>
    <row r="209" spans="1:2" ht="12.75" customHeight="1">
      <c r="A209" s="70" t="s">
        <v>665</v>
      </c>
      <c r="B209" s="72">
        <f>COMPAS</f>
        <v>0</v>
      </c>
    </row>
    <row r="210" spans="1:2" ht="12.75" customHeight="1">
      <c r="A210" s="70" t="s">
        <v>666</v>
      </c>
      <c r="B210" s="72">
        <f>JAIS</f>
        <v>0</v>
      </c>
    </row>
    <row r="211" spans="1:2" ht="12.75" customHeight="1">
      <c r="A211" s="70" t="s">
        <v>667</v>
      </c>
      <c r="B211" s="72">
        <f>LSIR</f>
        <v>0</v>
      </c>
    </row>
    <row r="212" spans="1:2" ht="12.75" customHeight="1">
      <c r="A212" s="70" t="s">
        <v>668</v>
      </c>
      <c r="B212" s="72">
        <f>MAYSI2</f>
        <v>0</v>
      </c>
    </row>
    <row r="213" spans="1:2" ht="12.75" customHeight="1">
      <c r="A213" s="70" t="s">
        <v>669</v>
      </c>
      <c r="B213" s="72">
        <f>MAYSI</f>
        <v>0</v>
      </c>
    </row>
    <row r="214" spans="1:2" ht="12.75" customHeight="1">
      <c r="A214" s="70" t="s">
        <v>670</v>
      </c>
      <c r="B214" s="72">
        <f>NIC</f>
        <v>0</v>
      </c>
    </row>
    <row r="215" spans="1:2" ht="12.75" customHeight="1">
      <c r="A215" s="70" t="s">
        <v>671</v>
      </c>
      <c r="B215" s="72">
        <f>PACT</f>
        <v>0</v>
      </c>
    </row>
    <row r="216" spans="1:2" ht="12.75" customHeight="1">
      <c r="A216" s="70" t="s">
        <v>672</v>
      </c>
      <c r="B216" s="72">
        <f>RRC</f>
        <v>0</v>
      </c>
    </row>
    <row r="217" spans="1:2" ht="12.75" customHeight="1">
      <c r="A217" s="70" t="s">
        <v>673</v>
      </c>
      <c r="B217" s="72">
        <f>YLSCMI</f>
        <v>0</v>
      </c>
    </row>
    <row r="218" spans="1:2" ht="12.75" customHeight="1">
      <c r="A218" s="70" t="s">
        <v>674</v>
      </c>
      <c r="B218" s="72">
        <f>othrassessmentname1</f>
        <v>0</v>
      </c>
    </row>
    <row r="219" spans="1:2" ht="12.75" customHeight="1">
      <c r="A219" s="70" t="s">
        <v>675</v>
      </c>
      <c r="B219" s="72">
        <f>othrassess1</f>
        <v>0</v>
      </c>
    </row>
    <row r="220" spans="1:2" ht="12.75" customHeight="1">
      <c r="A220" s="70" t="s">
        <v>676</v>
      </c>
      <c r="B220" s="72">
        <f>othrassessmentname2</f>
        <v>0</v>
      </c>
    </row>
    <row r="221" spans="1:2" ht="12.75" customHeight="1">
      <c r="A221" s="70" t="s">
        <v>677</v>
      </c>
      <c r="B221" s="72">
        <f>othrassess2</f>
        <v>0</v>
      </c>
    </row>
    <row r="222" spans="1:2" ht="12.75" customHeight="1">
      <c r="A222" s="70" t="s">
        <v>678</v>
      </c>
      <c r="B222" s="72">
        <f>othrassessmentname3</f>
        <v>0</v>
      </c>
    </row>
    <row r="223" spans="1:2" ht="12.75" customHeight="1">
      <c r="A223" s="70" t="s">
        <v>679</v>
      </c>
      <c r="B223" s="72">
        <f>othrassess3</f>
        <v>0</v>
      </c>
    </row>
    <row r="224" spans="1:2" ht="12.75" customHeight="1">
      <c r="A224" s="70" t="s">
        <v>680</v>
      </c>
      <c r="B224" s="72">
        <f>othrassessmentname4</f>
        <v>0</v>
      </c>
    </row>
    <row r="225" spans="1:2" ht="12.75" customHeight="1">
      <c r="A225" s="70" t="s">
        <v>681</v>
      </c>
      <c r="B225" s="72">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70" t="s">
        <v>234</v>
      </c>
      <c r="B1" s="78" t="str">
        <f>County</f>
        <v>San Francisco</v>
      </c>
    </row>
    <row r="2" spans="1:2" ht="12.75" customHeight="1">
      <c r="A2" s="70" t="s">
        <v>682</v>
      </c>
      <c r="B2" s="72">
        <f>coord1</f>
        <v>0</v>
      </c>
    </row>
    <row r="3" spans="1:2" ht="12.75" customHeight="1">
      <c r="A3" s="70" t="s">
        <v>683</v>
      </c>
      <c r="B3" s="72">
        <f>coord2</f>
        <v>0</v>
      </c>
    </row>
    <row r="4" spans="1:2" ht="12.75" customHeight="1">
      <c r="A4" s="70" t="s">
        <v>684</v>
      </c>
      <c r="B4" s="72">
        <f>strategy</f>
        <v>0</v>
      </c>
    </row>
    <row r="5" spans="1:2" ht="12.75" customHeight="1">
      <c r="A5" s="70" t="s">
        <v>685</v>
      </c>
      <c r="B5" s="72">
        <f>stratnar</f>
        <v>0</v>
      </c>
    </row>
    <row r="6" spans="1:2" ht="12.75" customHeight="1">
      <c r="A6" s="70" t="s">
        <v>686</v>
      </c>
      <c r="B6" s="72">
        <f>stratdf</f>
        <v>0</v>
      </c>
    </row>
    <row r="7" spans="1:2" ht="12.75" customHeight="1">
      <c r="A7" s="70" t="s">
        <v>687</v>
      </c>
      <c r="B7" s="72">
        <f>stratplan</f>
        <v>0</v>
      </c>
    </row>
    <row r="8" spans="1:2" ht="12.75" customHeight="1">
      <c r="A8" s="70" t="s">
        <v>688</v>
      </c>
      <c r="B8" s="72">
        <f>coordnar</f>
        <v>0</v>
      </c>
    </row>
    <row r="9" spans="1:2" ht="12.75" customHeight="1">
      <c r="A9" s="70" t="s">
        <v>689</v>
      </c>
      <c r="B9" s="70">
        <f>regional</f>
        <v>0</v>
      </c>
    </row>
    <row r="10" spans="1:2" ht="12.75" customHeight="1">
      <c r="A10" s="70" t="s">
        <v>254</v>
      </c>
      <c r="B10" s="70" t="e">
        <f>Numecodet1</f>
        <v>#REF!</v>
      </c>
    </row>
    <row r="11" spans="1:2" ht="12.75" customHeight="1">
      <c r="A11" s="70" t="s">
        <v>255</v>
      </c>
      <c r="B11" s="70" t="e">
        <f>Numealtt1</f>
        <v>#REF!</v>
      </c>
    </row>
    <row r="12" spans="1:2" ht="12.75" customHeight="1">
      <c r="A12" s="70" t="s">
        <v>690</v>
      </c>
      <c r="B12" s="70" t="e">
        <f>JJCPAt1</f>
        <v>#REF!</v>
      </c>
    </row>
    <row r="13" spans="1:2" ht="12.75" customHeight="1">
      <c r="A13" s="70" t="s">
        <v>691</v>
      </c>
      <c r="B13" s="70" t="e">
        <f>Othert1</f>
        <v>#REF!</v>
      </c>
    </row>
    <row r="14" spans="1:2" ht="12.75" customHeight="1">
      <c r="A14" s="70" t="s">
        <v>286</v>
      </c>
      <c r="B14" s="72" t="e">
        <f>t1casecount</f>
        <v>#REF!</v>
      </c>
    </row>
    <row r="15" spans="1:2" ht="12.75" customHeight="1">
      <c r="A15" s="70" t="s">
        <v>287</v>
      </c>
      <c r="B15" s="75" t="e">
        <f>t1yobgpercap</f>
        <v>#REF!</v>
      </c>
    </row>
    <row r="16" spans="1:2" ht="12.75" customHeight="1">
      <c r="A16" s="70" t="s">
        <v>288</v>
      </c>
      <c r="B16" s="75" t="e">
        <f>t1totpercap</f>
        <v>#REF!</v>
      </c>
    </row>
    <row r="17" spans="1:2" ht="12.75" customHeight="1">
      <c r="A17" s="70" t="s">
        <v>692</v>
      </c>
      <c r="B17" s="70" t="e">
        <f>t1nar</f>
        <v>#REF!</v>
      </c>
    </row>
    <row r="18" spans="1:2" ht="12.75" customHeight="1">
      <c r="A18" s="70" t="s">
        <v>693</v>
      </c>
      <c r="B18" s="70" t="e">
        <f>t1goal</f>
        <v>#REF!</v>
      </c>
    </row>
    <row r="19" spans="1:2" ht="12.75" customHeight="1">
      <c r="A19" s="70" t="s">
        <v>694</v>
      </c>
      <c r="B19" s="70" t="e">
        <f>t1barrier</f>
        <v>#REF!</v>
      </c>
    </row>
    <row r="20" spans="1:2" ht="12.75" customHeight="1">
      <c r="A20" s="70" t="s">
        <v>695</v>
      </c>
      <c r="B20" s="70" t="e">
        <f>t1funds</f>
        <v>#REF!</v>
      </c>
    </row>
    <row r="21" spans="1:2" ht="12.75" customHeight="1">
      <c r="A21" s="70" t="s">
        <v>696</v>
      </c>
      <c r="B21" s="70">
        <f>t1other1</f>
        <v>0</v>
      </c>
    </row>
    <row r="22" spans="1:2" ht="12.75" customHeight="1">
      <c r="A22" s="70" t="s">
        <v>697</v>
      </c>
      <c r="B22" s="70">
        <f>t1other2</f>
        <v>0</v>
      </c>
    </row>
    <row r="23" spans="1:2" ht="12.75" customHeight="1">
      <c r="A23" s="70" t="s">
        <v>698</v>
      </c>
      <c r="B23" s="70">
        <f>t1other3</f>
        <v>0</v>
      </c>
    </row>
    <row r="24" spans="1:2" ht="12.75" customHeight="1">
      <c r="A24" s="70" t="s">
        <v>295</v>
      </c>
      <c r="B24" s="70" t="e">
        <f>Numecodet2</f>
        <v>#REF!</v>
      </c>
    </row>
    <row r="25" spans="1:2" ht="12.75" customHeight="1">
      <c r="A25" s="70" t="s">
        <v>296</v>
      </c>
      <c r="B25" s="70" t="e">
        <f>Numealtt2</f>
        <v>#REF!</v>
      </c>
    </row>
    <row r="26" spans="1:2" ht="12.75" customHeight="1">
      <c r="A26" s="70" t="s">
        <v>699</v>
      </c>
      <c r="B26" s="70" t="e">
        <f>JJCPAt2</f>
        <v>#REF!</v>
      </c>
    </row>
    <row r="27" spans="1:2" ht="12.75" customHeight="1">
      <c r="A27" s="70" t="s">
        <v>700</v>
      </c>
      <c r="B27" s="70" t="e">
        <f>Othert2</f>
        <v>#REF!</v>
      </c>
    </row>
    <row r="28" spans="1:2" ht="12.75" customHeight="1">
      <c r="A28" s="70" t="s">
        <v>327</v>
      </c>
      <c r="B28" s="72" t="e">
        <f>t2casecount</f>
        <v>#REF!</v>
      </c>
    </row>
    <row r="29" spans="1:2" ht="12.75" customHeight="1">
      <c r="A29" s="70" t="s">
        <v>328</v>
      </c>
      <c r="B29" s="75" t="e">
        <f>t2yobgpercap</f>
        <v>#REF!</v>
      </c>
    </row>
    <row r="30" spans="1:2" ht="12.75" customHeight="1">
      <c r="A30" s="70" t="s">
        <v>329</v>
      </c>
      <c r="B30" s="75" t="e">
        <f>t2totpercap</f>
        <v>#REF!</v>
      </c>
    </row>
    <row r="31" spans="1:2" ht="12.75" customHeight="1">
      <c r="A31" s="70" t="s">
        <v>701</v>
      </c>
      <c r="B31" s="70" t="e">
        <f>t2nar</f>
        <v>#REF!</v>
      </c>
    </row>
    <row r="32" spans="1:2" ht="12.75" customHeight="1">
      <c r="A32" s="70" t="s">
        <v>702</v>
      </c>
      <c r="B32" s="70" t="e">
        <f>t2goal</f>
        <v>#REF!</v>
      </c>
    </row>
    <row r="33" spans="1:2" ht="12.75" customHeight="1">
      <c r="A33" s="70" t="s">
        <v>703</v>
      </c>
      <c r="B33" s="70" t="e">
        <f>t2barrier</f>
        <v>#REF!</v>
      </c>
    </row>
    <row r="34" spans="1:2" ht="12.75" customHeight="1">
      <c r="A34" s="70" t="s">
        <v>704</v>
      </c>
      <c r="B34" s="70" t="e">
        <f>t2funds</f>
        <v>#REF!</v>
      </c>
    </row>
    <row r="35" spans="1:2" ht="12.75" customHeight="1">
      <c r="A35" s="70" t="s">
        <v>705</v>
      </c>
      <c r="B35" s="70" t="e">
        <f>t2other1</f>
        <v>#REF!</v>
      </c>
    </row>
    <row r="36" spans="1:2" ht="12.75" customHeight="1">
      <c r="A36" s="70" t="s">
        <v>706</v>
      </c>
      <c r="B36" s="70" t="e">
        <f>t2other2</f>
        <v>#REF!</v>
      </c>
    </row>
    <row r="37" spans="1:2" ht="12.75" customHeight="1">
      <c r="A37" s="70" t="s">
        <v>707</v>
      </c>
      <c r="B37" s="70" t="e">
        <f>t2other3</f>
        <v>#REF!</v>
      </c>
    </row>
    <row r="38" spans="1:2" ht="12.75" customHeight="1">
      <c r="A38" s="70" t="s">
        <v>336</v>
      </c>
      <c r="B38" s="70" t="e">
        <f>Numecodet3</f>
        <v>#REF!</v>
      </c>
    </row>
    <row r="39" spans="1:2" ht="12.75" customHeight="1">
      <c r="A39" s="70" t="s">
        <v>337</v>
      </c>
      <c r="B39" s="70" t="e">
        <f>Numealtt3</f>
        <v>#REF!</v>
      </c>
    </row>
    <row r="40" spans="1:2" ht="12.75" customHeight="1">
      <c r="A40" s="70" t="s">
        <v>708</v>
      </c>
      <c r="B40" s="70" t="e">
        <f>JJCPAt3</f>
        <v>#REF!</v>
      </c>
    </row>
    <row r="41" spans="1:2" ht="12.75" customHeight="1">
      <c r="A41" s="70" t="s">
        <v>709</v>
      </c>
      <c r="B41" s="70" t="e">
        <f>Othert3</f>
        <v>#REF!</v>
      </c>
    </row>
    <row r="42" spans="1:2" ht="12.75" customHeight="1">
      <c r="A42" s="70" t="s">
        <v>368</v>
      </c>
      <c r="B42" s="72" t="e">
        <f>t3casecount</f>
        <v>#REF!</v>
      </c>
    </row>
    <row r="43" spans="1:2" ht="12.75" customHeight="1">
      <c r="A43" s="70" t="s">
        <v>369</v>
      </c>
      <c r="B43" s="75" t="e">
        <f>t3yobgpercap</f>
        <v>#REF!</v>
      </c>
    </row>
    <row r="44" spans="1:2" ht="12.75" customHeight="1">
      <c r="A44" s="70" t="s">
        <v>370</v>
      </c>
      <c r="B44" s="75" t="e">
        <f>t3totpercap</f>
        <v>#REF!</v>
      </c>
    </row>
    <row r="45" spans="1:2" ht="12.75" customHeight="1">
      <c r="A45" s="70" t="s">
        <v>710</v>
      </c>
      <c r="B45" s="70" t="e">
        <f>t3nar</f>
        <v>#REF!</v>
      </c>
    </row>
    <row r="46" spans="1:2" ht="12.75" customHeight="1">
      <c r="A46" s="70" t="s">
        <v>711</v>
      </c>
      <c r="B46" s="70" t="e">
        <f>t3goal</f>
        <v>#REF!</v>
      </c>
    </row>
    <row r="47" spans="1:2" ht="12.75" customHeight="1">
      <c r="A47" s="70" t="s">
        <v>712</v>
      </c>
      <c r="B47" s="70" t="e">
        <f>t3barrier</f>
        <v>#REF!</v>
      </c>
    </row>
    <row r="48" spans="1:2" ht="12.75" customHeight="1">
      <c r="A48" s="70" t="s">
        <v>713</v>
      </c>
      <c r="B48" s="70" t="e">
        <f>t3funds</f>
        <v>#REF!</v>
      </c>
    </row>
    <row r="49" spans="1:2" ht="12.75" customHeight="1">
      <c r="A49" s="70" t="s">
        <v>714</v>
      </c>
      <c r="B49" s="70" t="e">
        <f>t3other1</f>
        <v>#REF!</v>
      </c>
    </row>
    <row r="50" spans="1:2" ht="12.75" customHeight="1">
      <c r="A50" s="70" t="s">
        <v>715</v>
      </c>
      <c r="B50" s="70" t="e">
        <f>t3other2</f>
        <v>#REF!</v>
      </c>
    </row>
    <row r="51" spans="1:2" ht="12.75" customHeight="1">
      <c r="A51" s="70" t="s">
        <v>716</v>
      </c>
      <c r="B51" s="70" t="e">
        <f>t3other3</f>
        <v>#REF!</v>
      </c>
    </row>
    <row r="52" spans="1:2" ht="12.75" customHeight="1">
      <c r="A52" s="70" t="s">
        <v>377</v>
      </c>
      <c r="B52" s="70" t="e">
        <f>Numecodet4</f>
        <v>#REF!</v>
      </c>
    </row>
    <row r="53" spans="1:2" ht="12.75" customHeight="1">
      <c r="A53" s="70" t="s">
        <v>378</v>
      </c>
      <c r="B53" s="70" t="e">
        <f>Numealtt4</f>
        <v>#REF!</v>
      </c>
    </row>
    <row r="54" spans="1:2" ht="12.75" customHeight="1">
      <c r="A54" s="70" t="s">
        <v>717</v>
      </c>
      <c r="B54" s="70" t="e">
        <f>JJCPAt4</f>
        <v>#REF!</v>
      </c>
    </row>
    <row r="55" spans="1:2" ht="12.75" customHeight="1">
      <c r="A55" s="70" t="s">
        <v>718</v>
      </c>
      <c r="B55" s="70" t="e">
        <f>Othert4</f>
        <v>#REF!</v>
      </c>
    </row>
    <row r="56" spans="1:2" ht="12.75" customHeight="1">
      <c r="A56" s="70" t="s">
        <v>409</v>
      </c>
      <c r="B56" s="72" t="e">
        <f>t4casecount</f>
        <v>#REF!</v>
      </c>
    </row>
    <row r="57" spans="1:2" ht="12.75" customHeight="1">
      <c r="A57" s="70" t="s">
        <v>410</v>
      </c>
      <c r="B57" s="75" t="e">
        <f>t4yobgpercap</f>
        <v>#REF!</v>
      </c>
    </row>
    <row r="58" spans="1:2" ht="12.75" customHeight="1">
      <c r="A58" s="70" t="s">
        <v>411</v>
      </c>
      <c r="B58" s="75" t="e">
        <f>t4totpercap</f>
        <v>#REF!</v>
      </c>
    </row>
    <row r="59" spans="1:2" ht="12.75" customHeight="1">
      <c r="A59" s="70" t="s">
        <v>719</v>
      </c>
      <c r="B59" s="70" t="e">
        <f>t4nar</f>
        <v>#REF!</v>
      </c>
    </row>
    <row r="60" spans="1:2" ht="12.75" customHeight="1">
      <c r="A60" s="70" t="s">
        <v>720</v>
      </c>
      <c r="B60" s="70" t="e">
        <f>t4goal</f>
        <v>#REF!</v>
      </c>
    </row>
    <row r="61" spans="1:2" ht="12.75" customHeight="1">
      <c r="A61" s="70" t="s">
        <v>721</v>
      </c>
      <c r="B61" s="70" t="e">
        <f>t4barrier</f>
        <v>#REF!</v>
      </c>
    </row>
    <row r="62" spans="1:2" ht="12.75" customHeight="1">
      <c r="A62" s="70" t="s">
        <v>722</v>
      </c>
      <c r="B62" s="70" t="e">
        <f>t4funds</f>
        <v>#REF!</v>
      </c>
    </row>
    <row r="63" spans="1:2" ht="12.75" customHeight="1">
      <c r="A63" s="70" t="s">
        <v>723</v>
      </c>
      <c r="B63" s="70" t="e">
        <f>t4other1</f>
        <v>#REF!</v>
      </c>
    </row>
    <row r="64" spans="1:2" ht="12.75" customHeight="1">
      <c r="A64" s="70" t="s">
        <v>724</v>
      </c>
      <c r="B64" s="70" t="e">
        <f>t4other2</f>
        <v>#REF!</v>
      </c>
    </row>
    <row r="65" spans="1:2" ht="12.75" customHeight="1">
      <c r="A65" s="70" t="s">
        <v>725</v>
      </c>
      <c r="B65" s="70" t="e">
        <f>t4other3</f>
        <v>#REF!</v>
      </c>
    </row>
    <row r="66" spans="1:2" ht="12.75" customHeight="1">
      <c r="A66" s="70" t="s">
        <v>418</v>
      </c>
      <c r="B66" s="70" t="e">
        <f>Numecodet5</f>
        <v>#REF!</v>
      </c>
    </row>
    <row r="67" spans="1:2" ht="12.75" customHeight="1">
      <c r="A67" s="70" t="s">
        <v>419</v>
      </c>
      <c r="B67" s="70" t="e">
        <f>Numealtt5</f>
        <v>#REF!</v>
      </c>
    </row>
    <row r="68" spans="1:2" ht="12.75" customHeight="1">
      <c r="A68" s="70" t="s">
        <v>726</v>
      </c>
      <c r="B68" s="70" t="e">
        <f>JJCPAt5</f>
        <v>#REF!</v>
      </c>
    </row>
    <row r="69" spans="1:2" ht="12.75" customHeight="1">
      <c r="A69" s="70" t="s">
        <v>727</v>
      </c>
      <c r="B69" s="70" t="e">
        <f>Othert5</f>
        <v>#REF!</v>
      </c>
    </row>
    <row r="70" spans="1:2" ht="12.75" customHeight="1">
      <c r="A70" s="70" t="s">
        <v>450</v>
      </c>
      <c r="B70" s="72" t="e">
        <f>t5casecount</f>
        <v>#REF!</v>
      </c>
    </row>
    <row r="71" spans="1:2" ht="12.75" customHeight="1">
      <c r="A71" s="70" t="s">
        <v>451</v>
      </c>
      <c r="B71" s="75" t="e">
        <f>t5yobgpercap</f>
        <v>#REF!</v>
      </c>
    </row>
    <row r="72" spans="1:2" ht="12.75" customHeight="1">
      <c r="A72" s="70" t="s">
        <v>452</v>
      </c>
      <c r="B72" s="75" t="e">
        <f>t5totpercap</f>
        <v>#REF!</v>
      </c>
    </row>
    <row r="73" spans="1:2" ht="12.75" customHeight="1">
      <c r="A73" s="70" t="s">
        <v>728</v>
      </c>
      <c r="B73" s="70" t="e">
        <f>t5nar</f>
        <v>#REF!</v>
      </c>
    </row>
    <row r="74" spans="1:2" ht="12.75" customHeight="1">
      <c r="A74" s="70" t="s">
        <v>729</v>
      </c>
      <c r="B74" s="70" t="e">
        <f>t5goal</f>
        <v>#REF!</v>
      </c>
    </row>
    <row r="75" spans="1:2" ht="12.75" customHeight="1">
      <c r="A75" s="70" t="s">
        <v>730</v>
      </c>
      <c r="B75" s="70" t="e">
        <f>t5barrier</f>
        <v>#REF!</v>
      </c>
    </row>
    <row r="76" spans="1:2" ht="12.75" customHeight="1">
      <c r="A76" s="70" t="s">
        <v>731</v>
      </c>
      <c r="B76" s="70" t="e">
        <f>t5funds</f>
        <v>#REF!</v>
      </c>
    </row>
    <row r="77" spans="1:2" ht="12.75" customHeight="1">
      <c r="A77" s="70" t="s">
        <v>732</v>
      </c>
      <c r="B77" s="70" t="e">
        <f>t5other1</f>
        <v>#REF!</v>
      </c>
    </row>
    <row r="78" spans="1:2" ht="12.75" customHeight="1">
      <c r="A78" s="70" t="s">
        <v>733</v>
      </c>
      <c r="B78" s="70" t="e">
        <f>t5other2</f>
        <v>#REF!</v>
      </c>
    </row>
    <row r="79" spans="1:2" ht="12.75" customHeight="1">
      <c r="A79" s="70" t="s">
        <v>734</v>
      </c>
      <c r="B79" s="70" t="e">
        <f>t5other3</f>
        <v>#REF!</v>
      </c>
    </row>
    <row r="80" spans="1:2" ht="12.75" customHeight="1">
      <c r="A80" s="70" t="s">
        <v>459</v>
      </c>
      <c r="B80" s="70" t="e">
        <f>Numecodet6</f>
        <v>#REF!</v>
      </c>
    </row>
    <row r="81" spans="1:2" ht="12.75" customHeight="1">
      <c r="A81" s="70" t="s">
        <v>460</v>
      </c>
      <c r="B81" s="70" t="e">
        <f>Numealtt6</f>
        <v>#REF!</v>
      </c>
    </row>
    <row r="82" spans="1:2" ht="12.75" customHeight="1">
      <c r="A82" s="70" t="s">
        <v>735</v>
      </c>
      <c r="B82" s="70" t="e">
        <f>JJCPAt6</f>
        <v>#REF!</v>
      </c>
    </row>
    <row r="83" spans="1:2" ht="12.75" customHeight="1">
      <c r="A83" s="70" t="s">
        <v>736</v>
      </c>
      <c r="B83" s="70" t="e">
        <f>Othert6</f>
        <v>#REF!</v>
      </c>
    </row>
    <row r="84" spans="1:2" ht="12.75" customHeight="1">
      <c r="A84" s="70" t="s">
        <v>491</v>
      </c>
      <c r="B84" s="72" t="e">
        <f>t6casecount</f>
        <v>#REF!</v>
      </c>
    </row>
    <row r="85" spans="1:2" ht="12.75" customHeight="1">
      <c r="A85" s="70" t="s">
        <v>492</v>
      </c>
      <c r="B85" s="75" t="e">
        <f>t6yobgpercap</f>
        <v>#REF!</v>
      </c>
    </row>
    <row r="86" spans="1:2" ht="12.75" customHeight="1">
      <c r="A86" s="70" t="s">
        <v>493</v>
      </c>
      <c r="B86" s="75" t="e">
        <f>t6totpercap</f>
        <v>#REF!</v>
      </c>
    </row>
    <row r="87" spans="1:2" ht="12.75" customHeight="1">
      <c r="A87" s="70" t="s">
        <v>737</v>
      </c>
      <c r="B87" s="70" t="e">
        <f>t6nar</f>
        <v>#REF!</v>
      </c>
    </row>
    <row r="88" spans="1:2" ht="12.75" customHeight="1">
      <c r="A88" s="70" t="s">
        <v>738</v>
      </c>
      <c r="B88" s="70" t="e">
        <f>t6goal</f>
        <v>#REF!</v>
      </c>
    </row>
    <row r="89" spans="1:2" ht="12.75" customHeight="1">
      <c r="A89" s="70" t="s">
        <v>739</v>
      </c>
      <c r="B89" s="70" t="e">
        <f>t6barrier</f>
        <v>#REF!</v>
      </c>
    </row>
    <row r="90" spans="1:2" ht="12.75" customHeight="1">
      <c r="A90" s="70" t="s">
        <v>740</v>
      </c>
      <c r="B90" s="70" t="e">
        <f>t6funds</f>
        <v>#REF!</v>
      </c>
    </row>
    <row r="91" spans="1:2" ht="12.75" customHeight="1">
      <c r="A91" s="70" t="s">
        <v>741</v>
      </c>
      <c r="B91" s="70" t="e">
        <f>t6other1</f>
        <v>#REF!</v>
      </c>
    </row>
    <row r="92" spans="1:2" ht="12.75" customHeight="1">
      <c r="A92" s="70" t="s">
        <v>742</v>
      </c>
      <c r="B92" s="70" t="e">
        <f>t6other2</f>
        <v>#REF!</v>
      </c>
    </row>
    <row r="93" spans="1:2" ht="12.75" customHeight="1">
      <c r="A93" s="70" t="s">
        <v>743</v>
      </c>
      <c r="B93" s="70" t="e">
        <f>t6other3</f>
        <v>#REF!</v>
      </c>
    </row>
    <row r="94" spans="1:2" ht="12.75" customHeight="1">
      <c r="A94" s="70" t="s">
        <v>500</v>
      </c>
      <c r="B94" s="70" t="e">
        <f>Numecodet7</f>
        <v>#REF!</v>
      </c>
    </row>
    <row r="95" spans="1:2" ht="12.75" customHeight="1">
      <c r="A95" s="70" t="s">
        <v>501</v>
      </c>
      <c r="B95" s="70" t="e">
        <f>Numealtt7</f>
        <v>#REF!</v>
      </c>
    </row>
    <row r="96" spans="1:2" ht="12.75" customHeight="1">
      <c r="A96" s="70" t="s">
        <v>744</v>
      </c>
      <c r="B96" s="70" t="e">
        <f>JJCPAt7</f>
        <v>#REF!</v>
      </c>
    </row>
    <row r="97" spans="1:2" ht="12.75" customHeight="1">
      <c r="A97" s="70" t="s">
        <v>745</v>
      </c>
      <c r="B97" s="70" t="e">
        <f>Othert7</f>
        <v>#REF!</v>
      </c>
    </row>
    <row r="98" spans="1:2" ht="12.75" customHeight="1">
      <c r="A98" s="70" t="s">
        <v>532</v>
      </c>
      <c r="B98" s="72" t="e">
        <f>t7casecount</f>
        <v>#REF!</v>
      </c>
    </row>
    <row r="99" spans="1:2" ht="12.75" customHeight="1">
      <c r="A99" s="70" t="s">
        <v>533</v>
      </c>
      <c r="B99" s="75" t="e">
        <f>t7yobgpercap</f>
        <v>#REF!</v>
      </c>
    </row>
    <row r="100" spans="1:2" ht="12.75" customHeight="1">
      <c r="A100" s="70" t="s">
        <v>534</v>
      </c>
      <c r="B100" s="75" t="e">
        <f>t7totpercap</f>
        <v>#REF!</v>
      </c>
    </row>
    <row r="101" spans="1:2" ht="12.75" customHeight="1">
      <c r="A101" s="70" t="s">
        <v>746</v>
      </c>
      <c r="B101" s="70" t="e">
        <f>t7nar</f>
        <v>#REF!</v>
      </c>
    </row>
    <row r="102" spans="1:2" ht="12.75" customHeight="1">
      <c r="A102" s="70" t="s">
        <v>747</v>
      </c>
      <c r="B102" s="70" t="e">
        <f>t7goal</f>
        <v>#REF!</v>
      </c>
    </row>
    <row r="103" spans="1:2" ht="12.75" customHeight="1">
      <c r="A103" s="70" t="s">
        <v>748</v>
      </c>
      <c r="B103" s="70" t="e">
        <f>t7barrier</f>
        <v>#REF!</v>
      </c>
    </row>
    <row r="104" spans="1:2" ht="12.75" customHeight="1">
      <c r="A104" s="70" t="s">
        <v>749</v>
      </c>
      <c r="B104" s="70" t="e">
        <f>t7funds</f>
        <v>#REF!</v>
      </c>
    </row>
    <row r="105" spans="1:2" ht="12.75" customHeight="1">
      <c r="A105" s="70" t="s">
        <v>750</v>
      </c>
      <c r="B105" s="70" t="e">
        <f>t7other1</f>
        <v>#REF!</v>
      </c>
    </row>
    <row r="106" spans="1:2" ht="12.75" customHeight="1">
      <c r="A106" s="70" t="s">
        <v>751</v>
      </c>
      <c r="B106" s="70" t="e">
        <f>t7other2</f>
        <v>#REF!</v>
      </c>
    </row>
    <row r="107" spans="1:2" ht="12.75" customHeight="1">
      <c r="A107" s="70" t="s">
        <v>752</v>
      </c>
      <c r="B107" s="70" t="e">
        <f>t7other3</f>
        <v>#REF!</v>
      </c>
    </row>
    <row r="108" spans="1:2" ht="12.75" customHeight="1">
      <c r="A108" s="70" t="s">
        <v>541</v>
      </c>
      <c r="B108" s="70" t="e">
        <f>Numecodet8</f>
        <v>#REF!</v>
      </c>
    </row>
    <row r="109" spans="1:2" ht="12.75" customHeight="1">
      <c r="A109" s="70" t="s">
        <v>542</v>
      </c>
      <c r="B109" s="70" t="e">
        <f>Numealtt8</f>
        <v>#REF!</v>
      </c>
    </row>
    <row r="110" spans="1:2" ht="12.75" customHeight="1">
      <c r="A110" s="70" t="s">
        <v>753</v>
      </c>
      <c r="B110" s="70" t="e">
        <f>JJCPAt8</f>
        <v>#REF!</v>
      </c>
    </row>
    <row r="111" spans="1:2" ht="12.75" customHeight="1">
      <c r="A111" s="70" t="s">
        <v>754</v>
      </c>
      <c r="B111" s="70" t="e">
        <f>Othert8</f>
        <v>#REF!</v>
      </c>
    </row>
    <row r="112" spans="1:2" ht="12.75" customHeight="1">
      <c r="A112" s="70" t="s">
        <v>573</v>
      </c>
      <c r="B112" s="72" t="e">
        <f>t8casecount</f>
        <v>#REF!</v>
      </c>
    </row>
    <row r="113" spans="1:2" ht="12.75" customHeight="1">
      <c r="A113" s="70" t="s">
        <v>574</v>
      </c>
      <c r="B113" s="75" t="e">
        <f>t8yobgpercap</f>
        <v>#REF!</v>
      </c>
    </row>
    <row r="114" spans="1:2" ht="12.75" customHeight="1">
      <c r="A114" s="70" t="s">
        <v>575</v>
      </c>
      <c r="B114" s="75" t="e">
        <f>t8totpercap</f>
        <v>#REF!</v>
      </c>
    </row>
    <row r="115" spans="1:2" ht="12.75" customHeight="1">
      <c r="A115" s="70" t="s">
        <v>755</v>
      </c>
      <c r="B115" s="70" t="e">
        <f>t8nar</f>
        <v>#REF!</v>
      </c>
    </row>
    <row r="116" spans="1:2" ht="12.75" customHeight="1">
      <c r="A116" s="70" t="s">
        <v>756</v>
      </c>
      <c r="B116" s="70" t="e">
        <f>t8goal</f>
        <v>#REF!</v>
      </c>
    </row>
    <row r="117" spans="1:2" ht="12.75" customHeight="1">
      <c r="A117" s="70" t="s">
        <v>757</v>
      </c>
      <c r="B117" s="70" t="e">
        <f>t8barrier</f>
        <v>#REF!</v>
      </c>
    </row>
    <row r="118" spans="1:2" ht="12.75" customHeight="1">
      <c r="A118" s="70" t="s">
        <v>758</v>
      </c>
      <c r="B118" s="70" t="e">
        <f>t8funds</f>
        <v>#REF!</v>
      </c>
    </row>
    <row r="119" spans="1:2" ht="12.75" customHeight="1">
      <c r="A119" s="70" t="s">
        <v>759</v>
      </c>
      <c r="B119" s="70" t="e">
        <f>t8other1</f>
        <v>#REF!</v>
      </c>
    </row>
    <row r="120" spans="1:2" ht="12.75" customHeight="1">
      <c r="A120" s="70" t="s">
        <v>760</v>
      </c>
      <c r="B120" s="70" t="e">
        <f>t8other2</f>
        <v>#REF!</v>
      </c>
    </row>
    <row r="121" spans="1:2" ht="12.75" customHeight="1">
      <c r="A121" s="70" t="s">
        <v>761</v>
      </c>
      <c r="B121" s="70" t="e">
        <f>t8other3</f>
        <v>#REF!</v>
      </c>
    </row>
    <row r="122" spans="1:2" ht="12.75" customHeight="1">
      <c r="A122" s="70" t="s">
        <v>582</v>
      </c>
      <c r="B122" s="70" t="e">
        <f>Numecodet9</f>
        <v>#REF!</v>
      </c>
    </row>
    <row r="123" spans="1:2" ht="12.75" customHeight="1">
      <c r="A123" s="70" t="s">
        <v>583</v>
      </c>
      <c r="B123" s="70" t="e">
        <f>Numealtt9</f>
        <v>#REF!</v>
      </c>
    </row>
    <row r="124" spans="1:2" ht="12.75" customHeight="1">
      <c r="A124" s="70" t="s">
        <v>762</v>
      </c>
      <c r="B124" s="70" t="e">
        <f>JJCPAt9</f>
        <v>#REF!</v>
      </c>
    </row>
    <row r="125" spans="1:2" ht="12.75" customHeight="1">
      <c r="A125" s="70" t="s">
        <v>763</v>
      </c>
      <c r="B125" s="70" t="e">
        <f>Othert9</f>
        <v>#REF!</v>
      </c>
    </row>
    <row r="126" spans="1:2" ht="12.75" customHeight="1">
      <c r="A126" s="70" t="s">
        <v>614</v>
      </c>
      <c r="B126" s="72" t="e">
        <f>t9casecount</f>
        <v>#REF!</v>
      </c>
    </row>
    <row r="127" spans="1:2" ht="12.75" customHeight="1">
      <c r="A127" s="70" t="s">
        <v>615</v>
      </c>
      <c r="B127" s="75" t="e">
        <f>t9yobgpercap</f>
        <v>#REF!</v>
      </c>
    </row>
    <row r="128" spans="1:2" ht="12.75" customHeight="1">
      <c r="A128" s="70" t="s">
        <v>616</v>
      </c>
      <c r="B128" s="75" t="e">
        <f>t9totpercap</f>
        <v>#REF!</v>
      </c>
    </row>
    <row r="129" spans="1:2" ht="12.75" customHeight="1">
      <c r="A129" s="70" t="s">
        <v>764</v>
      </c>
      <c r="B129" s="70" t="e">
        <f>t9nar</f>
        <v>#REF!</v>
      </c>
    </row>
    <row r="130" spans="1:2" ht="12.75" customHeight="1">
      <c r="A130" s="70" t="s">
        <v>765</v>
      </c>
      <c r="B130" s="70" t="e">
        <f>t9goal</f>
        <v>#REF!</v>
      </c>
    </row>
    <row r="131" spans="1:2" ht="12.75" customHeight="1">
      <c r="A131" s="70" t="s">
        <v>766</v>
      </c>
      <c r="B131" s="70" t="e">
        <f>t9barrier</f>
        <v>#REF!</v>
      </c>
    </row>
    <row r="132" spans="1:2" ht="12.75" customHeight="1">
      <c r="A132" s="70" t="s">
        <v>767</v>
      </c>
      <c r="B132" s="70" t="e">
        <f>t9funds</f>
        <v>#REF!</v>
      </c>
    </row>
    <row r="133" spans="1:2" ht="12.75" customHeight="1">
      <c r="A133" s="70" t="s">
        <v>768</v>
      </c>
      <c r="B133" s="70" t="e">
        <f>t9other1</f>
        <v>#REF!</v>
      </c>
    </row>
    <row r="134" spans="1:2" ht="12.75" customHeight="1">
      <c r="A134" s="70" t="s">
        <v>769</v>
      </c>
      <c r="B134" s="70" t="e">
        <f>t9other2</f>
        <v>#REF!</v>
      </c>
    </row>
    <row r="135" spans="1:2" ht="12.75" customHeight="1">
      <c r="A135" s="70" t="s">
        <v>770</v>
      </c>
      <c r="B135" s="70" t="e">
        <f>t9other3</f>
        <v>#REF!</v>
      </c>
    </row>
    <row r="136" spans="1:2" ht="12.75" customHeight="1">
      <c r="A136" s="70" t="s">
        <v>623</v>
      </c>
      <c r="B136" s="70" t="e">
        <f>Numecodet10</f>
        <v>#REF!</v>
      </c>
    </row>
    <row r="137" spans="1:2" ht="12.75" customHeight="1">
      <c r="A137" s="70" t="s">
        <v>624</v>
      </c>
      <c r="B137" s="70" t="e">
        <f>Numealtt10</f>
        <v>#REF!</v>
      </c>
    </row>
    <row r="138" spans="1:2" ht="12.75" customHeight="1">
      <c r="A138" s="70" t="s">
        <v>771</v>
      </c>
      <c r="B138" s="70" t="e">
        <f>JJCPAt10</f>
        <v>#REF!</v>
      </c>
    </row>
    <row r="139" spans="1:2" ht="12.75" customHeight="1">
      <c r="A139" s="70" t="s">
        <v>772</v>
      </c>
      <c r="B139" s="70" t="e">
        <f>Othert10</f>
        <v>#REF!</v>
      </c>
    </row>
    <row r="140" spans="1:2" ht="12.75" customHeight="1">
      <c r="A140" s="70" t="s">
        <v>655</v>
      </c>
      <c r="B140" s="72" t="e">
        <f>t10casecount</f>
        <v>#REF!</v>
      </c>
    </row>
    <row r="141" spans="1:2" ht="12.75" customHeight="1">
      <c r="A141" s="70" t="s">
        <v>656</v>
      </c>
      <c r="B141" s="75" t="e">
        <f>t10yobgpercap</f>
        <v>#REF!</v>
      </c>
    </row>
    <row r="142" spans="1:2" ht="12.75" customHeight="1">
      <c r="A142" s="70" t="s">
        <v>657</v>
      </c>
      <c r="B142" s="75" t="e">
        <f>t10totpercap</f>
        <v>#REF!</v>
      </c>
    </row>
    <row r="143" spans="1:2" ht="12.75" customHeight="1">
      <c r="A143" s="70" t="s">
        <v>773</v>
      </c>
      <c r="B143" s="70" t="e">
        <f>t10nar</f>
        <v>#REF!</v>
      </c>
    </row>
    <row r="144" spans="1:2" ht="12.75" customHeight="1">
      <c r="A144" s="70" t="s">
        <v>774</v>
      </c>
      <c r="B144" s="70" t="e">
        <f>t10goal</f>
        <v>#REF!</v>
      </c>
    </row>
    <row r="145" spans="1:2" ht="12.75" customHeight="1">
      <c r="A145" s="70" t="s">
        <v>775</v>
      </c>
      <c r="B145" s="70" t="e">
        <f>t10barrier</f>
        <v>#REF!</v>
      </c>
    </row>
    <row r="146" spans="1:2" ht="12.75" customHeight="1">
      <c r="A146" s="70" t="s">
        <v>776</v>
      </c>
      <c r="B146" s="70" t="e">
        <f>t10funds</f>
        <v>#REF!</v>
      </c>
    </row>
    <row r="147" spans="1:2" ht="12.75" customHeight="1">
      <c r="A147" s="70" t="s">
        <v>777</v>
      </c>
      <c r="B147" s="70" t="e">
        <f>t10other1</f>
        <v>#REF!</v>
      </c>
    </row>
    <row r="148" spans="1:2" ht="12.75" customHeight="1">
      <c r="A148" s="70" t="s">
        <v>778</v>
      </c>
      <c r="B148" s="70" t="e">
        <f>t10other2</f>
        <v>#REF!</v>
      </c>
    </row>
    <row r="149" spans="1:2" ht="12.75" customHeight="1">
      <c r="A149" s="70" t="s">
        <v>779</v>
      </c>
      <c r="B149" s="70" t="e">
        <f>t10other3</f>
        <v>#REF!</v>
      </c>
    </row>
    <row r="150" spans="1:2" ht="12.75" customHeight="1">
      <c r="A150" s="5" t="s">
        <v>780</v>
      </c>
      <c r="B150" s="74" t="e">
        <f>totyobgexp</f>
        <v>#REF!</v>
      </c>
    </row>
    <row r="151" spans="1:2" ht="12.75" customHeight="1">
      <c r="A151" s="5" t="s">
        <v>781</v>
      </c>
      <c r="B151" s="74" t="e">
        <f>fy1314all</f>
        <v>#REF!</v>
      </c>
    </row>
    <row r="152" spans="1:2" ht="12.75" customHeight="1">
      <c r="A152" s="5" t="s">
        <v>782</v>
      </c>
      <c r="B152" s="74" t="e">
        <f>fy1213all</f>
        <v>#REF!</v>
      </c>
    </row>
    <row r="153" spans="1:2" ht="12.75" customHeight="1">
      <c r="A153" s="70" t="s">
        <v>783</v>
      </c>
      <c r="B153" s="74" t="e">
        <f>fy1112all</f>
        <v>#REF!</v>
      </c>
    </row>
    <row r="154" spans="1:2" ht="12.75" customHeight="1">
      <c r="A154" s="70" t="s">
        <v>784</v>
      </c>
      <c r="B154" s="74" t="e">
        <f>fy1011all</f>
        <v>#REF!</v>
      </c>
    </row>
    <row r="155" spans="1:2" ht="12.75" customHeight="1">
      <c r="A155" s="70" t="s">
        <v>785</v>
      </c>
      <c r="B155" s="74" t="e">
        <f>fy0910all</f>
        <v>#REF!</v>
      </c>
    </row>
    <row r="156" spans="1:2" ht="12.75" customHeight="1">
      <c r="A156" s="70" t="s">
        <v>786</v>
      </c>
      <c r="B156" s="74" t="e">
        <f>fy0809all</f>
        <v>#REF!</v>
      </c>
    </row>
    <row r="157" spans="1:2" ht="12.75" customHeight="1">
      <c r="A157" s="70" t="s">
        <v>787</v>
      </c>
      <c r="B157" s="74" t="e">
        <f>fy0708all</f>
        <v>#REF!</v>
      </c>
    </row>
    <row r="158" spans="1:2" ht="12.75" customHeight="1">
      <c r="A158" s="5" t="s">
        <v>788</v>
      </c>
      <c r="B158" s="74" t="e">
        <f>totforall</f>
        <v>#REF!</v>
      </c>
    </row>
    <row r="159" spans="1:2" ht="12.75" customHeight="1">
      <c r="A159" s="70" t="s">
        <v>789</v>
      </c>
      <c r="B159" s="74" t="e">
        <f>discrep</f>
        <v>#REF!</v>
      </c>
    </row>
    <row r="160" spans="1:2" ht="12.75" customHeight="1">
      <c r="A160" s="70" t="s">
        <v>790</v>
      </c>
      <c r="B160" s="70" t="e">
        <f>discexpl</f>
        <v>#REF!</v>
      </c>
    </row>
    <row r="161" spans="1:2" ht="12.75" customHeight="1">
      <c r="A161" s="70" t="s">
        <v>791</v>
      </c>
      <c r="B161" s="70" t="e">
        <f>Numecodet1</f>
        <v>#REF!</v>
      </c>
    </row>
    <row r="162" spans="1:2" ht="12.75" customHeight="1">
      <c r="A162" s="70" t="s">
        <v>792</v>
      </c>
      <c r="B162" s="70" t="e">
        <f>JJCPAt1</f>
        <v>#REF!</v>
      </c>
    </row>
    <row r="163" spans="1:2" ht="12.75" customHeight="1">
      <c r="A163" s="70" t="s">
        <v>793</v>
      </c>
      <c r="B163" s="74">
        <f>t1jjcpatot</f>
        <v>1828008.2050000001</v>
      </c>
    </row>
    <row r="164" spans="1:2" ht="12.75" customHeight="1">
      <c r="A164" s="70" t="s">
        <v>794</v>
      </c>
      <c r="B164" s="70" t="e">
        <f>Othert1</f>
        <v>#REF!</v>
      </c>
    </row>
    <row r="165" spans="1:2" ht="12.75" customHeight="1">
      <c r="A165" s="70" t="s">
        <v>795</v>
      </c>
      <c r="B165" s="74">
        <f>t1othertot</f>
        <v>0</v>
      </c>
    </row>
    <row r="166" spans="1:2" ht="12.75" customHeight="1">
      <c r="A166" s="70" t="s">
        <v>796</v>
      </c>
      <c r="B166" s="70" t="e">
        <f>Numecodet2</f>
        <v>#REF!</v>
      </c>
    </row>
    <row r="167" spans="1:2" ht="12.75" customHeight="1">
      <c r="A167" s="70" t="s">
        <v>797</v>
      </c>
      <c r="B167" s="70" t="e">
        <f>JJCPAt2</f>
        <v>#REF!</v>
      </c>
    </row>
    <row r="168" spans="1:2" ht="12.75" customHeight="1">
      <c r="A168" s="70" t="s">
        <v>798</v>
      </c>
      <c r="B168" s="74" t="e">
        <f>t2jjcpatot</f>
        <v>#REF!</v>
      </c>
    </row>
    <row r="169" spans="1:2" ht="12.75" customHeight="1">
      <c r="A169" s="70" t="s">
        <v>799</v>
      </c>
      <c r="B169" s="70" t="e">
        <f>Othert2</f>
        <v>#REF!</v>
      </c>
    </row>
    <row r="170" spans="1:2" ht="12.75" customHeight="1">
      <c r="A170" s="70" t="s">
        <v>800</v>
      </c>
      <c r="B170" s="74" t="e">
        <f>t2othertot</f>
        <v>#REF!</v>
      </c>
    </row>
    <row r="171" spans="1:2" ht="12.75" customHeight="1">
      <c r="A171" s="70" t="s">
        <v>801</v>
      </c>
      <c r="B171" s="70" t="e">
        <f>Numecodet3</f>
        <v>#REF!</v>
      </c>
    </row>
    <row r="172" spans="1:2" ht="12.75" customHeight="1">
      <c r="A172" s="70" t="s">
        <v>802</v>
      </c>
      <c r="B172" s="70" t="e">
        <f>JJCPAt3</f>
        <v>#REF!</v>
      </c>
    </row>
    <row r="173" spans="1:2" ht="12.75" customHeight="1">
      <c r="A173" s="70" t="s">
        <v>803</v>
      </c>
      <c r="B173" s="74" t="e">
        <f>t3jjcpatot</f>
        <v>#REF!</v>
      </c>
    </row>
    <row r="174" spans="1:2" ht="12.75" customHeight="1">
      <c r="A174" s="70" t="s">
        <v>804</v>
      </c>
      <c r="B174" s="70" t="e">
        <f>Othert3</f>
        <v>#REF!</v>
      </c>
    </row>
    <row r="175" spans="1:2" ht="12.75" customHeight="1">
      <c r="A175" s="70" t="s">
        <v>805</v>
      </c>
      <c r="B175" s="74" t="e">
        <f>t3othertot</f>
        <v>#REF!</v>
      </c>
    </row>
    <row r="176" spans="1:2" ht="12.75" customHeight="1">
      <c r="A176" s="70" t="s">
        <v>806</v>
      </c>
      <c r="B176" s="70" t="e">
        <f>Numecodet4</f>
        <v>#REF!</v>
      </c>
    </row>
    <row r="177" spans="1:2" ht="12.75" customHeight="1">
      <c r="A177" s="70" t="s">
        <v>807</v>
      </c>
      <c r="B177" s="70" t="e">
        <f>JJCPAt4</f>
        <v>#REF!</v>
      </c>
    </row>
    <row r="178" spans="1:2" ht="12.75" customHeight="1">
      <c r="A178" s="70" t="s">
        <v>808</v>
      </c>
      <c r="B178" s="74" t="e">
        <f>t4jjcpatot</f>
        <v>#REF!</v>
      </c>
    </row>
    <row r="179" spans="1:2" ht="12.75" customHeight="1">
      <c r="A179" s="70" t="s">
        <v>809</v>
      </c>
      <c r="B179" s="70" t="e">
        <f>Othert4</f>
        <v>#REF!</v>
      </c>
    </row>
    <row r="180" spans="1:2" ht="12.75" customHeight="1">
      <c r="A180" s="70" t="s">
        <v>810</v>
      </c>
      <c r="B180" s="74" t="e">
        <f>t4othertot</f>
        <v>#REF!</v>
      </c>
    </row>
    <row r="181" spans="1:2" ht="12.75" customHeight="1">
      <c r="A181" s="70" t="s">
        <v>811</v>
      </c>
      <c r="B181" s="70" t="e">
        <f>Numecodet5</f>
        <v>#REF!</v>
      </c>
    </row>
    <row r="182" spans="1:2" ht="12.75" customHeight="1">
      <c r="A182" s="70" t="s">
        <v>812</v>
      </c>
      <c r="B182" s="70" t="e">
        <f>JJCPAt5</f>
        <v>#REF!</v>
      </c>
    </row>
    <row r="183" spans="1:2" ht="12.75" customHeight="1">
      <c r="A183" s="70" t="s">
        <v>813</v>
      </c>
      <c r="B183" s="74" t="e">
        <f>t5jjcpatot</f>
        <v>#REF!</v>
      </c>
    </row>
    <row r="184" spans="1:2" ht="12.75" customHeight="1">
      <c r="A184" s="70" t="s">
        <v>814</v>
      </c>
      <c r="B184" s="70" t="e">
        <f>Othert5</f>
        <v>#REF!</v>
      </c>
    </row>
    <row r="185" spans="1:2" ht="12.75" customHeight="1">
      <c r="A185" s="70" t="s">
        <v>815</v>
      </c>
      <c r="B185" s="74" t="e">
        <f>t5othertot</f>
        <v>#REF!</v>
      </c>
    </row>
    <row r="186" spans="1:2" ht="12.75" customHeight="1">
      <c r="A186" s="70" t="s">
        <v>816</v>
      </c>
      <c r="B186" s="70" t="e">
        <f>Numecodet6</f>
        <v>#REF!</v>
      </c>
    </row>
    <row r="187" spans="1:2" ht="12.75" customHeight="1">
      <c r="A187" s="70" t="s">
        <v>817</v>
      </c>
      <c r="B187" s="70" t="e">
        <f>JJCPAt6</f>
        <v>#REF!</v>
      </c>
    </row>
    <row r="188" spans="1:2" ht="12.75" customHeight="1">
      <c r="A188" s="70" t="s">
        <v>818</v>
      </c>
      <c r="B188" s="74" t="e">
        <f>t6jjcpatot</f>
        <v>#REF!</v>
      </c>
    </row>
    <row r="189" spans="1:2" ht="12.75" customHeight="1">
      <c r="A189" s="70" t="s">
        <v>819</v>
      </c>
      <c r="B189" s="70" t="e">
        <f>Othert6</f>
        <v>#REF!</v>
      </c>
    </row>
    <row r="190" spans="1:2" ht="12.75" customHeight="1">
      <c r="A190" s="70" t="s">
        <v>820</v>
      </c>
      <c r="B190" s="74" t="e">
        <f>t6othertot</f>
        <v>#REF!</v>
      </c>
    </row>
    <row r="191" spans="1:2" ht="12.75" customHeight="1">
      <c r="A191" s="70" t="s">
        <v>821</v>
      </c>
      <c r="B191" s="70" t="e">
        <f>Numecodet7</f>
        <v>#REF!</v>
      </c>
    </row>
    <row r="192" spans="1:2" ht="12.75" customHeight="1">
      <c r="A192" s="70" t="s">
        <v>822</v>
      </c>
      <c r="B192" s="70" t="e">
        <f>JJCPAt7</f>
        <v>#REF!</v>
      </c>
    </row>
    <row r="193" spans="1:2" ht="12.75" customHeight="1">
      <c r="A193" s="70" t="s">
        <v>823</v>
      </c>
      <c r="B193" s="74" t="e">
        <f>t7jjcpatot</f>
        <v>#REF!</v>
      </c>
    </row>
    <row r="194" spans="1:2" ht="12.75" customHeight="1">
      <c r="A194" s="70" t="s">
        <v>824</v>
      </c>
      <c r="B194" s="70" t="e">
        <f>Othert7</f>
        <v>#REF!</v>
      </c>
    </row>
    <row r="195" spans="1:2" ht="12.75" customHeight="1">
      <c r="A195" s="70" t="s">
        <v>825</v>
      </c>
      <c r="B195" s="74" t="e">
        <f>t7othertot</f>
        <v>#REF!</v>
      </c>
    </row>
    <row r="196" spans="1:2" ht="12.75" customHeight="1">
      <c r="A196" s="70" t="s">
        <v>826</v>
      </c>
      <c r="B196" s="70" t="e">
        <f>Numecodet8</f>
        <v>#REF!</v>
      </c>
    </row>
    <row r="197" spans="1:2" ht="12.75" customHeight="1">
      <c r="A197" s="70" t="s">
        <v>827</v>
      </c>
      <c r="B197" s="70" t="e">
        <f>JJCPAt8</f>
        <v>#REF!</v>
      </c>
    </row>
    <row r="198" spans="1:2" ht="12.75" customHeight="1">
      <c r="A198" s="70" t="s">
        <v>828</v>
      </c>
      <c r="B198" s="74" t="e">
        <f>t8jjcpatot</f>
        <v>#REF!</v>
      </c>
    </row>
    <row r="199" spans="1:2" ht="12.75" customHeight="1">
      <c r="A199" s="70" t="s">
        <v>829</v>
      </c>
      <c r="B199" s="70" t="e">
        <f>Othert8</f>
        <v>#REF!</v>
      </c>
    </row>
    <row r="200" spans="1:2" ht="12.75" customHeight="1">
      <c r="A200" s="70" t="s">
        <v>830</v>
      </c>
      <c r="B200" s="74" t="e">
        <f>t8othertot</f>
        <v>#REF!</v>
      </c>
    </row>
    <row r="201" spans="1:2" ht="12.75" customHeight="1">
      <c r="A201" s="70" t="s">
        <v>831</v>
      </c>
      <c r="B201" s="70" t="e">
        <f>Numecodet9</f>
        <v>#REF!</v>
      </c>
    </row>
    <row r="202" spans="1:2" ht="12.75" customHeight="1">
      <c r="A202" s="70" t="s">
        <v>832</v>
      </c>
      <c r="B202" s="70" t="e">
        <f>JJCPAt9</f>
        <v>#REF!</v>
      </c>
    </row>
    <row r="203" spans="1:2" ht="12.75" customHeight="1">
      <c r="A203" s="70" t="s">
        <v>833</v>
      </c>
      <c r="B203" s="74" t="e">
        <f>t9jjcpatot</f>
        <v>#REF!</v>
      </c>
    </row>
    <row r="204" spans="1:2" ht="12.75" customHeight="1">
      <c r="A204" s="70" t="s">
        <v>834</v>
      </c>
      <c r="B204" s="70" t="e">
        <f>Othert9</f>
        <v>#REF!</v>
      </c>
    </row>
    <row r="205" spans="1:2" ht="12.75" customHeight="1">
      <c r="A205" s="70" t="s">
        <v>835</v>
      </c>
      <c r="B205" s="74" t="e">
        <f>t9othertot</f>
        <v>#REF!</v>
      </c>
    </row>
    <row r="206" spans="1:2" ht="12.75" customHeight="1">
      <c r="A206" s="70" t="s">
        <v>836</v>
      </c>
      <c r="B206" s="70" t="e">
        <f>Numcodet10</f>
        <v>#REF!</v>
      </c>
    </row>
    <row r="207" spans="1:2" ht="12.75" customHeight="1">
      <c r="A207" s="70" t="s">
        <v>837</v>
      </c>
      <c r="B207" s="70" t="e">
        <f>JJCPAt10</f>
        <v>#REF!</v>
      </c>
    </row>
    <row r="208" spans="1:2" ht="12.75" customHeight="1">
      <c r="A208" s="70" t="s">
        <v>838</v>
      </c>
      <c r="B208" s="74" t="e">
        <f>t10jjcpatot</f>
        <v>#REF!</v>
      </c>
    </row>
    <row r="209" spans="1:2" ht="12.75" customHeight="1">
      <c r="A209" s="70" t="s">
        <v>839</v>
      </c>
      <c r="B209" s="70" t="e">
        <f>Othert10</f>
        <v>#REF!</v>
      </c>
    </row>
    <row r="210" spans="1:2" ht="12.75" customHeight="1">
      <c r="A210" s="70" t="s">
        <v>840</v>
      </c>
      <c r="B210" s="74"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70">
        <v>1</v>
      </c>
      <c r="B1" s="48" t="s">
        <v>76</v>
      </c>
      <c r="C1" s="70">
        <v>1</v>
      </c>
      <c r="D1" s="70" t="s">
        <v>841</v>
      </c>
    </row>
    <row r="2" spans="1:4" ht="12.75" customHeight="1">
      <c r="A2" s="70">
        <v>2</v>
      </c>
      <c r="B2" s="48" t="s">
        <v>78</v>
      </c>
      <c r="C2" s="70">
        <v>2</v>
      </c>
      <c r="D2" s="70" t="s">
        <v>842</v>
      </c>
    </row>
    <row r="3" spans="1:4" ht="12.75" customHeight="1">
      <c r="A3" s="70">
        <v>3</v>
      </c>
      <c r="B3" s="48" t="s">
        <v>80</v>
      </c>
      <c r="D3" s="70" t="s">
        <v>843</v>
      </c>
    </row>
    <row r="4" spans="1:4" ht="12.75" customHeight="1">
      <c r="A4" s="70">
        <v>4</v>
      </c>
      <c r="B4" s="48" t="s">
        <v>82</v>
      </c>
      <c r="D4" s="70" t="s">
        <v>844</v>
      </c>
    </row>
    <row r="5" spans="1:4" ht="12.75" customHeight="1">
      <c r="A5" s="70">
        <v>5</v>
      </c>
      <c r="B5" s="48" t="s">
        <v>77</v>
      </c>
      <c r="D5" s="70" t="s">
        <v>845</v>
      </c>
    </row>
    <row r="6" spans="1:4" ht="12.75" customHeight="1">
      <c r="A6" s="70">
        <v>6</v>
      </c>
      <c r="B6" s="48" t="s">
        <v>79</v>
      </c>
      <c r="D6" s="70" t="s">
        <v>846</v>
      </c>
    </row>
    <row r="7" spans="1:4" ht="12.75" customHeight="1">
      <c r="A7" s="70">
        <v>7</v>
      </c>
      <c r="B7" s="48" t="s">
        <v>81</v>
      </c>
      <c r="D7" s="70" t="s">
        <v>847</v>
      </c>
    </row>
    <row r="8" spans="1:4" ht="12.75" customHeight="1">
      <c r="A8" s="70">
        <v>8</v>
      </c>
      <c r="B8" s="48" t="s">
        <v>84</v>
      </c>
      <c r="D8" s="70" t="s">
        <v>848</v>
      </c>
    </row>
    <row r="9" spans="1:4" ht="12.75" customHeight="1">
      <c r="A9" s="70">
        <v>9</v>
      </c>
      <c r="B9" s="48" t="s">
        <v>87</v>
      </c>
      <c r="D9" s="70" t="s">
        <v>849</v>
      </c>
    </row>
    <row r="10" spans="1:4" ht="12.75" customHeight="1">
      <c r="A10" s="70">
        <v>10</v>
      </c>
      <c r="B10" s="48" t="s">
        <v>89</v>
      </c>
      <c r="D10" s="70" t="s">
        <v>850</v>
      </c>
    </row>
    <row r="11" spans="1:4" ht="12.75" customHeight="1">
      <c r="A11" s="70">
        <v>11</v>
      </c>
      <c r="B11" s="48" t="s">
        <v>91</v>
      </c>
      <c r="D11" s="70" t="s">
        <v>851</v>
      </c>
    </row>
    <row r="12" spans="1:4" ht="12.75" customHeight="1">
      <c r="A12" s="70">
        <v>12</v>
      </c>
      <c r="B12" s="48" t="s">
        <v>93</v>
      </c>
      <c r="D12" s="70" t="s">
        <v>852</v>
      </c>
    </row>
    <row r="13" spans="1:4" ht="12.75" customHeight="1">
      <c r="A13" s="70">
        <v>13</v>
      </c>
      <c r="B13" s="48" t="s">
        <v>95</v>
      </c>
      <c r="D13" s="70" t="s">
        <v>853</v>
      </c>
    </row>
    <row r="14" spans="1:4" ht="12.75" customHeight="1">
      <c r="A14" s="70">
        <v>14</v>
      </c>
      <c r="B14" s="48" t="s">
        <v>97</v>
      </c>
      <c r="D14" s="70" t="s">
        <v>854</v>
      </c>
    </row>
    <row r="15" spans="1:4" ht="12.75" customHeight="1">
      <c r="A15" s="70">
        <v>15</v>
      </c>
      <c r="B15" s="48" t="s">
        <v>99</v>
      </c>
      <c r="D15" s="70" t="s">
        <v>855</v>
      </c>
    </row>
    <row r="16" spans="1:4" ht="12.75" customHeight="1">
      <c r="A16" s="70">
        <v>16</v>
      </c>
      <c r="B16" s="48" t="s">
        <v>101</v>
      </c>
      <c r="D16" s="70" t="s">
        <v>856</v>
      </c>
    </row>
    <row r="17" spans="1:7" ht="12.75" customHeight="1">
      <c r="A17" s="70">
        <v>17</v>
      </c>
      <c r="B17" s="48" t="s">
        <v>103</v>
      </c>
      <c r="D17" s="70" t="s">
        <v>857</v>
      </c>
    </row>
    <row r="18" spans="1:7" ht="12.75" customHeight="1">
      <c r="A18" s="70">
        <v>18</v>
      </c>
      <c r="B18" s="48" t="s">
        <v>105</v>
      </c>
      <c r="D18" s="70" t="s">
        <v>858</v>
      </c>
    </row>
    <row r="19" spans="1:7" ht="12.75" customHeight="1">
      <c r="A19" s="70">
        <v>19</v>
      </c>
      <c r="B19" s="48" t="s">
        <v>107</v>
      </c>
      <c r="D19" s="70" t="s">
        <v>859</v>
      </c>
    </row>
    <row r="20" spans="1:7" ht="12.75" customHeight="1">
      <c r="A20" s="70">
        <v>20</v>
      </c>
      <c r="B20" s="48" t="s">
        <v>109</v>
      </c>
      <c r="D20" s="70" t="s">
        <v>860</v>
      </c>
    </row>
    <row r="21" spans="1:7" ht="12.75" customHeight="1">
      <c r="A21" s="70">
        <v>21</v>
      </c>
      <c r="B21" s="48" t="s">
        <v>111</v>
      </c>
      <c r="D21" s="70" t="s">
        <v>861</v>
      </c>
    </row>
    <row r="22" spans="1:7" ht="12.75" customHeight="1">
      <c r="A22" s="70">
        <v>22</v>
      </c>
      <c r="B22" s="48" t="s">
        <v>113</v>
      </c>
      <c r="D22" s="70" t="s">
        <v>862</v>
      </c>
    </row>
    <row r="23" spans="1:7" ht="12.75" customHeight="1">
      <c r="A23" s="70">
        <v>23</v>
      </c>
      <c r="B23" s="48" t="s">
        <v>115</v>
      </c>
      <c r="D23" s="70" t="s">
        <v>863</v>
      </c>
    </row>
    <row r="24" spans="1:7" ht="12.75" customHeight="1">
      <c r="A24" s="70">
        <v>24</v>
      </c>
      <c r="B24" s="48" t="s">
        <v>117</v>
      </c>
      <c r="D24" s="70" t="s">
        <v>864</v>
      </c>
      <c r="F24" s="84" t="s">
        <v>865</v>
      </c>
      <c r="G24" s="48" t="s">
        <v>866</v>
      </c>
    </row>
    <row r="25" spans="1:7" ht="12.75" customHeight="1">
      <c r="A25" s="70">
        <v>25</v>
      </c>
      <c r="B25" s="48" t="s">
        <v>119</v>
      </c>
      <c r="D25" s="70" t="s">
        <v>867</v>
      </c>
      <c r="F25" s="84" t="s">
        <v>868</v>
      </c>
      <c r="G25" s="76" t="s">
        <v>869</v>
      </c>
    </row>
    <row r="26" spans="1:7" ht="12.75" customHeight="1">
      <c r="A26" s="70">
        <v>26</v>
      </c>
      <c r="B26" s="48" t="s">
        <v>167</v>
      </c>
      <c r="D26" s="70" t="s">
        <v>870</v>
      </c>
      <c r="G26" s="76" t="s">
        <v>871</v>
      </c>
    </row>
    <row r="27" spans="1:7" ht="12.75" customHeight="1">
      <c r="A27" s="70">
        <v>27</v>
      </c>
      <c r="B27" s="48" t="s">
        <v>90</v>
      </c>
      <c r="D27" s="70" t="s">
        <v>872</v>
      </c>
      <c r="G27" s="76" t="s">
        <v>873</v>
      </c>
    </row>
    <row r="28" spans="1:7" ht="12.75" customHeight="1">
      <c r="A28" s="70">
        <v>28</v>
      </c>
      <c r="B28" s="48" t="s">
        <v>92</v>
      </c>
      <c r="D28" s="70" t="s">
        <v>874</v>
      </c>
      <c r="G28" s="76" t="s">
        <v>875</v>
      </c>
    </row>
    <row r="29" spans="1:7" ht="12.75" customHeight="1">
      <c r="A29" s="70">
        <v>29</v>
      </c>
      <c r="B29" s="48" t="s">
        <v>94</v>
      </c>
      <c r="D29" s="70" t="s">
        <v>876</v>
      </c>
      <c r="G29" s="76" t="s">
        <v>877</v>
      </c>
    </row>
    <row r="30" spans="1:7" ht="12.75" customHeight="1">
      <c r="A30" s="70">
        <v>30</v>
      </c>
      <c r="B30" s="48" t="s">
        <v>96</v>
      </c>
      <c r="D30" s="70" t="s">
        <v>878</v>
      </c>
      <c r="G30" s="76" t="s">
        <v>879</v>
      </c>
    </row>
    <row r="31" spans="1:7" ht="12.75" customHeight="1">
      <c r="A31" s="70">
        <v>31</v>
      </c>
      <c r="B31" s="48" t="s">
        <v>98</v>
      </c>
      <c r="D31" s="70" t="s">
        <v>880</v>
      </c>
      <c r="G31" s="76" t="s">
        <v>881</v>
      </c>
    </row>
    <row r="32" spans="1:7" ht="12.75" customHeight="1">
      <c r="A32" s="70">
        <v>32</v>
      </c>
      <c r="B32" s="48" t="s">
        <v>100</v>
      </c>
      <c r="D32" s="70" t="s">
        <v>882</v>
      </c>
      <c r="G32" s="76" t="s">
        <v>883</v>
      </c>
    </row>
    <row r="33" spans="1:7" ht="12.75" customHeight="1">
      <c r="A33" s="70">
        <v>33</v>
      </c>
      <c r="B33" s="48" t="s">
        <v>102</v>
      </c>
      <c r="D33" s="70" t="s">
        <v>884</v>
      </c>
      <c r="G33" s="76" t="s">
        <v>885</v>
      </c>
    </row>
    <row r="34" spans="1:7" ht="12.75" customHeight="1">
      <c r="A34" s="70">
        <v>34</v>
      </c>
      <c r="B34" s="48" t="s">
        <v>104</v>
      </c>
      <c r="D34" s="70" t="s">
        <v>886</v>
      </c>
      <c r="G34" s="76" t="s">
        <v>887</v>
      </c>
    </row>
    <row r="35" spans="1:7" ht="12.75" customHeight="1">
      <c r="A35" s="70">
        <v>35</v>
      </c>
      <c r="B35" s="48" t="s">
        <v>106</v>
      </c>
      <c r="D35" s="70" t="s">
        <v>888</v>
      </c>
      <c r="G35" s="76" t="s">
        <v>889</v>
      </c>
    </row>
    <row r="36" spans="1:7" ht="12.75" customHeight="1">
      <c r="A36" s="70">
        <v>36</v>
      </c>
      <c r="B36" s="48" t="s">
        <v>108</v>
      </c>
      <c r="D36" s="70" t="s">
        <v>890</v>
      </c>
      <c r="G36" s="76" t="s">
        <v>891</v>
      </c>
    </row>
    <row r="37" spans="1:7" ht="12.75" customHeight="1">
      <c r="A37" s="70">
        <v>37</v>
      </c>
      <c r="B37" s="48" t="s">
        <v>110</v>
      </c>
      <c r="D37" s="70" t="s">
        <v>892</v>
      </c>
      <c r="G37" s="76" t="s">
        <v>893</v>
      </c>
    </row>
    <row r="38" spans="1:7" ht="12.75" customHeight="1">
      <c r="A38" s="70">
        <v>38</v>
      </c>
      <c r="B38" s="48" t="s">
        <v>112</v>
      </c>
      <c r="D38" s="70" t="s">
        <v>894</v>
      </c>
      <c r="G38" s="76" t="s">
        <v>895</v>
      </c>
    </row>
    <row r="39" spans="1:7" ht="12.75" customHeight="1">
      <c r="A39" s="70">
        <v>39</v>
      </c>
      <c r="B39" s="48" t="s">
        <v>114</v>
      </c>
      <c r="D39" s="70" t="s">
        <v>896</v>
      </c>
      <c r="G39" s="76" t="s">
        <v>897</v>
      </c>
    </row>
    <row r="40" spans="1:7" ht="12.75" customHeight="1">
      <c r="A40" s="70">
        <v>40</v>
      </c>
      <c r="B40" s="48" t="s">
        <v>116</v>
      </c>
      <c r="D40" s="70" t="s">
        <v>898</v>
      </c>
      <c r="G40" s="76" t="s">
        <v>899</v>
      </c>
    </row>
    <row r="41" spans="1:7" ht="12.75" customHeight="1">
      <c r="A41" s="70">
        <v>41</v>
      </c>
      <c r="B41" s="48" t="s">
        <v>118</v>
      </c>
      <c r="D41" s="70" t="s">
        <v>900</v>
      </c>
      <c r="G41" s="76" t="s">
        <v>901</v>
      </c>
    </row>
    <row r="42" spans="1:7" ht="12.75" customHeight="1">
      <c r="A42" s="70">
        <v>42</v>
      </c>
      <c r="B42" s="48" t="s">
        <v>120</v>
      </c>
      <c r="D42" s="70" t="s">
        <v>902</v>
      </c>
      <c r="G42" s="76" t="s">
        <v>53</v>
      </c>
    </row>
    <row r="43" spans="1:7" ht="12.75" customHeight="1">
      <c r="A43" s="70">
        <v>43</v>
      </c>
      <c r="B43" s="48" t="s">
        <v>121</v>
      </c>
      <c r="D43" s="70" t="s">
        <v>903</v>
      </c>
    </row>
    <row r="44" spans="1:7" ht="12.75" customHeight="1">
      <c r="A44" s="70">
        <v>44</v>
      </c>
      <c r="B44" s="48" t="s">
        <v>121</v>
      </c>
      <c r="D44" s="70" t="s">
        <v>904</v>
      </c>
    </row>
    <row r="45" spans="1:7" ht="12.75" customHeight="1">
      <c r="A45" s="70">
        <v>45</v>
      </c>
      <c r="B45" s="48" t="s">
        <v>123</v>
      </c>
      <c r="D45" s="70" t="s">
        <v>905</v>
      </c>
    </row>
    <row r="46" spans="1:7" ht="12.75" customHeight="1">
      <c r="A46" s="70">
        <v>46</v>
      </c>
      <c r="B46" s="48" t="s">
        <v>126</v>
      </c>
      <c r="D46" s="70" t="s">
        <v>906</v>
      </c>
    </row>
    <row r="47" spans="1:7" ht="12.75" customHeight="1">
      <c r="A47" s="70">
        <v>47</v>
      </c>
      <c r="B47" s="48" t="s">
        <v>129</v>
      </c>
      <c r="D47" s="70" t="s">
        <v>907</v>
      </c>
    </row>
    <row r="48" spans="1:7" ht="12.75" customHeight="1">
      <c r="A48" s="70">
        <v>48</v>
      </c>
      <c r="B48" s="48" t="s">
        <v>132</v>
      </c>
      <c r="D48" s="70" t="s">
        <v>908</v>
      </c>
    </row>
    <row r="49" spans="1:4" ht="12.75" customHeight="1">
      <c r="A49" s="70">
        <v>49</v>
      </c>
      <c r="B49" s="48" t="s">
        <v>124</v>
      </c>
      <c r="D49" s="70" t="s">
        <v>909</v>
      </c>
    </row>
    <row r="50" spans="1:4" ht="12.75" customHeight="1">
      <c r="A50" s="70">
        <v>50</v>
      </c>
      <c r="B50" s="48" t="s">
        <v>127</v>
      </c>
      <c r="D50" s="70" t="s">
        <v>910</v>
      </c>
    </row>
    <row r="51" spans="1:4" ht="12.75" customHeight="1">
      <c r="A51" s="70">
        <v>51</v>
      </c>
      <c r="B51" s="48" t="s">
        <v>53</v>
      </c>
      <c r="D51" s="70" t="s">
        <v>911</v>
      </c>
    </row>
    <row r="52" spans="1:4" ht="12.75" customHeight="1">
      <c r="A52" s="70">
        <v>52</v>
      </c>
      <c r="B52" s="48" t="s">
        <v>130</v>
      </c>
      <c r="D52" s="70" t="s">
        <v>912</v>
      </c>
    </row>
    <row r="53" spans="1:4" ht="12.75" customHeight="1">
      <c r="D53" s="70" t="s">
        <v>913</v>
      </c>
    </row>
    <row r="54" spans="1:4" ht="12.75" customHeight="1">
      <c r="D54" s="70" t="s">
        <v>914</v>
      </c>
    </row>
    <row r="55" spans="1:4" ht="12.75" customHeight="1">
      <c r="D55" s="70" t="s">
        <v>915</v>
      </c>
    </row>
    <row r="56" spans="1:4" ht="12.75" customHeight="1">
      <c r="D56" s="70" t="s">
        <v>916</v>
      </c>
    </row>
    <row r="57" spans="1:4" ht="12.75" customHeight="1">
      <c r="D57" s="70" t="s">
        <v>917</v>
      </c>
    </row>
    <row r="58" spans="1:4" ht="12.75" customHeight="1">
      <c r="D58" s="70" t="s">
        <v>918</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70" t="s">
        <v>234</v>
      </c>
      <c r="B1" s="70" t="s">
        <v>235</v>
      </c>
      <c r="C1" s="70" t="s">
        <v>236</v>
      </c>
      <c r="D1" s="70" t="s">
        <v>237</v>
      </c>
      <c r="E1" s="70" t="s">
        <v>238</v>
      </c>
      <c r="F1" s="70" t="s">
        <v>239</v>
      </c>
      <c r="G1" s="70" t="s">
        <v>240</v>
      </c>
      <c r="H1" s="70" t="s">
        <v>241</v>
      </c>
      <c r="I1" s="70" t="s">
        <v>242</v>
      </c>
      <c r="J1" s="70" t="s">
        <v>243</v>
      </c>
      <c r="K1" s="70" t="s">
        <v>244</v>
      </c>
      <c r="L1" s="70" t="s">
        <v>245</v>
      </c>
      <c r="M1" s="70" t="s">
        <v>246</v>
      </c>
      <c r="N1" s="70" t="s">
        <v>247</v>
      </c>
      <c r="O1" s="70" t="s">
        <v>248</v>
      </c>
      <c r="P1" s="70" t="s">
        <v>249</v>
      </c>
      <c r="Q1" s="70" t="s">
        <v>250</v>
      </c>
      <c r="R1" s="70" t="s">
        <v>251</v>
      </c>
      <c r="S1" s="70" t="s">
        <v>252</v>
      </c>
      <c r="T1" s="70" t="s">
        <v>253</v>
      </c>
      <c r="U1" s="70" t="s">
        <v>254</v>
      </c>
      <c r="V1" s="70" t="s">
        <v>255</v>
      </c>
      <c r="W1" s="70" t="s">
        <v>256</v>
      </c>
      <c r="X1" s="70" t="s">
        <v>257</v>
      </c>
      <c r="Y1" s="70" t="s">
        <v>258</v>
      </c>
      <c r="Z1" s="70" t="s">
        <v>259</v>
      </c>
      <c r="AA1" s="70" t="s">
        <v>260</v>
      </c>
      <c r="AB1" s="70" t="s">
        <v>261</v>
      </c>
      <c r="AC1" s="70" t="s">
        <v>262</v>
      </c>
      <c r="AD1" s="70" t="s">
        <v>263</v>
      </c>
      <c r="AE1" s="70" t="s">
        <v>264</v>
      </c>
      <c r="AF1" s="70" t="s">
        <v>265</v>
      </c>
      <c r="AG1" s="70" t="s">
        <v>266</v>
      </c>
      <c r="AH1" s="70" t="s">
        <v>267</v>
      </c>
      <c r="AI1" s="70" t="s">
        <v>268</v>
      </c>
      <c r="AJ1" s="70" t="s">
        <v>269</v>
      </c>
      <c r="AK1" s="70" t="s">
        <v>270</v>
      </c>
      <c r="AL1" s="70" t="s">
        <v>271</v>
      </c>
      <c r="AM1" s="70" t="s">
        <v>272</v>
      </c>
      <c r="AN1" s="70" t="s">
        <v>273</v>
      </c>
      <c r="AO1" s="70" t="s">
        <v>274</v>
      </c>
      <c r="AP1" s="70" t="s">
        <v>275</v>
      </c>
      <c r="AQ1" s="70" t="s">
        <v>276</v>
      </c>
      <c r="AR1" s="70" t="s">
        <v>277</v>
      </c>
      <c r="AS1" s="70" t="s">
        <v>278</v>
      </c>
      <c r="AT1" s="70" t="s">
        <v>279</v>
      </c>
      <c r="AU1" s="70" t="s">
        <v>280</v>
      </c>
      <c r="AV1" s="70" t="s">
        <v>281</v>
      </c>
      <c r="AW1" s="70" t="s">
        <v>282</v>
      </c>
      <c r="AX1" s="70" t="s">
        <v>283</v>
      </c>
      <c r="AY1" s="70" t="s">
        <v>284</v>
      </c>
      <c r="AZ1" s="70" t="s">
        <v>285</v>
      </c>
      <c r="BA1" s="70" t="s">
        <v>286</v>
      </c>
      <c r="BB1" s="70" t="s">
        <v>287</v>
      </c>
      <c r="BC1" s="70" t="s">
        <v>288</v>
      </c>
      <c r="BD1" s="70" t="s">
        <v>289</v>
      </c>
      <c r="BE1" s="70" t="s">
        <v>290</v>
      </c>
      <c r="BF1" s="70" t="s">
        <v>291</v>
      </c>
      <c r="BG1" s="70" t="s">
        <v>292</v>
      </c>
      <c r="BH1" s="70" t="s">
        <v>293</v>
      </c>
      <c r="BI1" s="70" t="s">
        <v>294</v>
      </c>
      <c r="BJ1" s="70" t="s">
        <v>295</v>
      </c>
      <c r="BK1" s="70" t="s">
        <v>296</v>
      </c>
      <c r="BL1" s="70" t="s">
        <v>297</v>
      </c>
      <c r="BM1" s="70" t="s">
        <v>298</v>
      </c>
      <c r="BN1" s="70" t="s">
        <v>299</v>
      </c>
      <c r="BO1" s="70" t="s">
        <v>300</v>
      </c>
      <c r="BP1" s="70" t="s">
        <v>301</v>
      </c>
      <c r="BQ1" s="70" t="s">
        <v>302</v>
      </c>
      <c r="BR1" s="70" t="s">
        <v>303</v>
      </c>
      <c r="BS1" s="70" t="s">
        <v>304</v>
      </c>
      <c r="BT1" s="70" t="s">
        <v>305</v>
      </c>
      <c r="BU1" s="70" t="s">
        <v>306</v>
      </c>
      <c r="BV1" s="70" t="s">
        <v>307</v>
      </c>
      <c r="BW1" s="70" t="s">
        <v>308</v>
      </c>
      <c r="BX1" s="70" t="s">
        <v>309</v>
      </c>
      <c r="BY1" s="70" t="s">
        <v>310</v>
      </c>
      <c r="BZ1" s="70" t="s">
        <v>311</v>
      </c>
      <c r="CA1" s="70" t="s">
        <v>312</v>
      </c>
      <c r="CB1" s="70" t="s">
        <v>313</v>
      </c>
      <c r="CC1" s="70" t="s">
        <v>314</v>
      </c>
      <c r="CD1" s="70" t="s">
        <v>315</v>
      </c>
      <c r="CE1" s="70" t="s">
        <v>316</v>
      </c>
      <c r="CF1" s="70" t="s">
        <v>317</v>
      </c>
      <c r="CG1" s="70" t="s">
        <v>318</v>
      </c>
      <c r="CH1" s="70" t="s">
        <v>319</v>
      </c>
      <c r="CI1" s="70" t="s">
        <v>320</v>
      </c>
      <c r="CJ1" s="70" t="s">
        <v>321</v>
      </c>
      <c r="CK1" s="70" t="s">
        <v>322</v>
      </c>
      <c r="CL1" s="70" t="s">
        <v>323</v>
      </c>
      <c r="CM1" s="70" t="s">
        <v>324</v>
      </c>
      <c r="CN1" s="70" t="s">
        <v>325</v>
      </c>
      <c r="CO1" s="70" t="s">
        <v>326</v>
      </c>
      <c r="CP1" s="70" t="s">
        <v>327</v>
      </c>
      <c r="CQ1" s="70" t="s">
        <v>328</v>
      </c>
      <c r="CR1" s="70" t="s">
        <v>329</v>
      </c>
      <c r="CS1" s="70" t="s">
        <v>330</v>
      </c>
      <c r="CT1" s="70" t="s">
        <v>331</v>
      </c>
      <c r="CU1" s="70" t="s">
        <v>332</v>
      </c>
      <c r="CV1" s="70" t="s">
        <v>333</v>
      </c>
      <c r="CW1" s="70" t="s">
        <v>334</v>
      </c>
      <c r="CX1" s="70" t="s">
        <v>335</v>
      </c>
      <c r="CY1" s="70" t="s">
        <v>336</v>
      </c>
      <c r="CZ1" s="70" t="s">
        <v>337</v>
      </c>
      <c r="DA1" s="70" t="s">
        <v>338</v>
      </c>
      <c r="DB1" s="70" t="s">
        <v>339</v>
      </c>
      <c r="DC1" s="70" t="s">
        <v>340</v>
      </c>
      <c r="DD1" s="70" t="s">
        <v>341</v>
      </c>
      <c r="DE1" s="70" t="s">
        <v>342</v>
      </c>
      <c r="DF1" s="70" t="s">
        <v>343</v>
      </c>
      <c r="DG1" s="70" t="s">
        <v>344</v>
      </c>
      <c r="DH1" s="70" t="s">
        <v>345</v>
      </c>
      <c r="DI1" s="70" t="s">
        <v>346</v>
      </c>
      <c r="DJ1" s="70" t="s">
        <v>347</v>
      </c>
      <c r="DK1" s="70" t="s">
        <v>348</v>
      </c>
      <c r="DL1" s="70" t="s">
        <v>349</v>
      </c>
      <c r="DM1" s="70" t="s">
        <v>350</v>
      </c>
      <c r="DN1" s="70" t="s">
        <v>351</v>
      </c>
      <c r="DO1" s="70" t="s">
        <v>352</v>
      </c>
      <c r="DP1" s="70" t="s">
        <v>353</v>
      </c>
      <c r="DQ1" s="70" t="s">
        <v>354</v>
      </c>
      <c r="DR1" s="70" t="s">
        <v>355</v>
      </c>
      <c r="DS1" s="70" t="s">
        <v>356</v>
      </c>
      <c r="DT1" s="70" t="s">
        <v>357</v>
      </c>
      <c r="DU1" s="70" t="s">
        <v>358</v>
      </c>
      <c r="DV1" s="70" t="s">
        <v>359</v>
      </c>
      <c r="DW1" s="70" t="s">
        <v>360</v>
      </c>
      <c r="DX1" s="70" t="s">
        <v>361</v>
      </c>
      <c r="DY1" s="70" t="s">
        <v>362</v>
      </c>
      <c r="DZ1" s="70" t="s">
        <v>363</v>
      </c>
      <c r="EA1" s="70" t="s">
        <v>364</v>
      </c>
      <c r="EB1" s="70" t="s">
        <v>365</v>
      </c>
      <c r="EC1" s="70" t="s">
        <v>366</v>
      </c>
      <c r="ED1" s="70" t="s">
        <v>367</v>
      </c>
      <c r="EE1" s="70" t="s">
        <v>368</v>
      </c>
      <c r="EF1" s="70" t="s">
        <v>369</v>
      </c>
      <c r="EG1" s="70" t="s">
        <v>370</v>
      </c>
      <c r="EH1" s="70" t="s">
        <v>371</v>
      </c>
      <c r="EI1" s="70" t="s">
        <v>372</v>
      </c>
      <c r="EJ1" s="70" t="s">
        <v>373</v>
      </c>
      <c r="EK1" s="70" t="s">
        <v>374</v>
      </c>
      <c r="EL1" s="70" t="s">
        <v>375</v>
      </c>
      <c r="EM1" s="70" t="s">
        <v>376</v>
      </c>
      <c r="EN1" s="70" t="s">
        <v>377</v>
      </c>
      <c r="EO1" s="70" t="s">
        <v>378</v>
      </c>
      <c r="EP1" s="70" t="s">
        <v>379</v>
      </c>
      <c r="EQ1" s="70" t="s">
        <v>380</v>
      </c>
      <c r="ER1" s="70" t="s">
        <v>381</v>
      </c>
      <c r="ES1" s="70" t="s">
        <v>382</v>
      </c>
      <c r="ET1" s="70" t="s">
        <v>383</v>
      </c>
      <c r="EU1" s="70" t="s">
        <v>384</v>
      </c>
      <c r="EV1" s="70" t="s">
        <v>385</v>
      </c>
      <c r="EW1" s="70" t="s">
        <v>386</v>
      </c>
      <c r="EX1" s="70" t="s">
        <v>387</v>
      </c>
      <c r="EY1" s="70" t="s">
        <v>388</v>
      </c>
      <c r="EZ1" s="70" t="s">
        <v>389</v>
      </c>
      <c r="FA1" s="70" t="s">
        <v>390</v>
      </c>
      <c r="FB1" s="70" t="s">
        <v>391</v>
      </c>
      <c r="FC1" s="70" t="s">
        <v>392</v>
      </c>
      <c r="FD1" s="70" t="s">
        <v>393</v>
      </c>
      <c r="FE1" s="70" t="s">
        <v>394</v>
      </c>
      <c r="FF1" s="70" t="s">
        <v>395</v>
      </c>
      <c r="FG1" s="70" t="s">
        <v>396</v>
      </c>
      <c r="FH1" s="70" t="s">
        <v>397</v>
      </c>
      <c r="FI1" s="70" t="s">
        <v>398</v>
      </c>
      <c r="FJ1" s="70" t="s">
        <v>399</v>
      </c>
      <c r="FK1" s="70" t="s">
        <v>400</v>
      </c>
      <c r="FL1" s="70" t="s">
        <v>401</v>
      </c>
      <c r="FM1" s="70" t="s">
        <v>402</v>
      </c>
      <c r="FN1" s="70" t="s">
        <v>403</v>
      </c>
      <c r="FO1" s="70" t="s">
        <v>404</v>
      </c>
      <c r="FP1" s="70" t="s">
        <v>405</v>
      </c>
      <c r="FQ1" s="70" t="s">
        <v>406</v>
      </c>
      <c r="FR1" s="70" t="s">
        <v>407</v>
      </c>
      <c r="FS1" s="70" t="s">
        <v>408</v>
      </c>
      <c r="FT1" s="70" t="s">
        <v>409</v>
      </c>
      <c r="FU1" s="70" t="s">
        <v>410</v>
      </c>
      <c r="FV1" s="70" t="s">
        <v>411</v>
      </c>
      <c r="FW1" s="70" t="s">
        <v>412</v>
      </c>
      <c r="FX1" s="70" t="s">
        <v>413</v>
      </c>
      <c r="FY1" s="70" t="s">
        <v>414</v>
      </c>
      <c r="FZ1" s="70" t="s">
        <v>415</v>
      </c>
      <c r="GA1" s="70" t="s">
        <v>416</v>
      </c>
      <c r="GB1" s="70" t="s">
        <v>417</v>
      </c>
      <c r="GC1" s="70" t="s">
        <v>418</v>
      </c>
      <c r="GD1" s="70" t="s">
        <v>419</v>
      </c>
      <c r="GE1" s="70" t="s">
        <v>420</v>
      </c>
      <c r="GF1" s="70" t="s">
        <v>421</v>
      </c>
      <c r="GG1" s="70" t="s">
        <v>422</v>
      </c>
      <c r="GH1" s="70" t="s">
        <v>423</v>
      </c>
      <c r="GI1" s="70" t="s">
        <v>424</v>
      </c>
      <c r="GJ1" s="70" t="s">
        <v>425</v>
      </c>
      <c r="GK1" s="70" t="s">
        <v>426</v>
      </c>
      <c r="GL1" s="70" t="s">
        <v>427</v>
      </c>
      <c r="GM1" s="70" t="s">
        <v>428</v>
      </c>
      <c r="GN1" s="70" t="s">
        <v>429</v>
      </c>
      <c r="GO1" s="70" t="s">
        <v>430</v>
      </c>
      <c r="GP1" s="70" t="s">
        <v>431</v>
      </c>
      <c r="GQ1" s="70" t="s">
        <v>432</v>
      </c>
      <c r="GR1" s="70" t="s">
        <v>433</v>
      </c>
      <c r="GS1" s="70" t="s">
        <v>434</v>
      </c>
      <c r="GT1" s="70" t="s">
        <v>435</v>
      </c>
      <c r="GU1" s="70" t="s">
        <v>436</v>
      </c>
      <c r="GV1" s="70" t="s">
        <v>437</v>
      </c>
      <c r="GW1" s="70" t="s">
        <v>438</v>
      </c>
      <c r="GX1" s="70" t="s">
        <v>439</v>
      </c>
      <c r="GY1" s="70" t="s">
        <v>440</v>
      </c>
      <c r="GZ1" s="70" t="s">
        <v>441</v>
      </c>
      <c r="HA1" s="70" t="s">
        <v>442</v>
      </c>
      <c r="HB1" s="70" t="s">
        <v>443</v>
      </c>
      <c r="HC1" s="70" t="s">
        <v>444</v>
      </c>
      <c r="HD1" s="70" t="s">
        <v>445</v>
      </c>
      <c r="HE1" s="70" t="s">
        <v>446</v>
      </c>
      <c r="HF1" s="70" t="s">
        <v>447</v>
      </c>
      <c r="HG1" s="70" t="s">
        <v>448</v>
      </c>
      <c r="HH1" s="70" t="s">
        <v>449</v>
      </c>
      <c r="HI1" s="70" t="s">
        <v>450</v>
      </c>
      <c r="HJ1" s="70" t="s">
        <v>451</v>
      </c>
      <c r="HK1" s="70" t="s">
        <v>452</v>
      </c>
      <c r="HL1" s="70" t="s">
        <v>453</v>
      </c>
      <c r="HM1" s="70" t="s">
        <v>454</v>
      </c>
      <c r="HN1" s="70" t="s">
        <v>455</v>
      </c>
      <c r="HO1" s="70" t="s">
        <v>456</v>
      </c>
      <c r="HP1" s="70" t="s">
        <v>457</v>
      </c>
      <c r="HQ1" s="70" t="s">
        <v>458</v>
      </c>
    </row>
    <row r="2" spans="1:225" ht="12.75" customHeight="1">
      <c r="A2" s="78" t="str">
        <f>County</f>
        <v>San Francisco</v>
      </c>
      <c r="B2" s="71">
        <f>Reportdate</f>
        <v>45560</v>
      </c>
      <c r="C2" s="5" t="e">
        <f>Chief</f>
        <v>#REF!</v>
      </c>
      <c r="D2" s="70" t="e">
        <f>Chiefphone2</f>
        <v>#REF!</v>
      </c>
      <c r="E2" s="70" t="e">
        <f>Address</f>
        <v>#REF!</v>
      </c>
      <c r="F2" s="70" t="e">
        <f>City</f>
        <v>#REF!</v>
      </c>
      <c r="G2" s="72" t="e">
        <f>ZIP</f>
        <v>#REF!</v>
      </c>
      <c r="H2" s="70" t="e">
        <f>Chiefemail2</f>
        <v>#REF!</v>
      </c>
      <c r="I2" s="70" t="str">
        <f>primcontact</f>
        <v>Maria McKee</v>
      </c>
      <c r="J2" s="70" t="str">
        <f>primarytitle</f>
        <v>Director of Research &amp; Planning</v>
      </c>
      <c r="K2" s="70" t="str">
        <f>primphone</f>
        <v>415 635 6979</v>
      </c>
      <c r="L2" s="70" t="str">
        <f>preemail</f>
        <v>maria.mckee@sfgov.org</v>
      </c>
      <c r="M2" s="73" t="str">
        <f>seccontact</f>
        <v>Veronica Martinez</v>
      </c>
      <c r="N2" s="73" t="str">
        <f>seccontitle</f>
        <v>Deputy Director of Administrative Services</v>
      </c>
      <c r="O2" s="70" t="str">
        <f>secphone</f>
        <v xml:space="preserve">415-680-8451 </v>
      </c>
      <c r="P2" s="70" t="str">
        <f>secemail</f>
        <v>veronica.martinez@sfgov.org</v>
      </c>
      <c r="Q2" s="70" t="e">
        <f>t1yobgtot+t2yobgtot+t3yobgtot+t4yobgtot+t5yobgtot+t6yobgtot+t7yobgtot+t8yobgtot+t9yobgtot+t10yobgtot</f>
        <v>#REF!</v>
      </c>
      <c r="R2" s="70" t="e">
        <f>t1jjcpatot+t2jjcpatot+t3jjcpatot+t4jjcpatot+t5jjcpatot+t6jjcpatot+t7jjcpatot+t8jjcpatot+t9jjcpatot+t10jjcpatot</f>
        <v>#REF!</v>
      </c>
      <c r="S2" s="70" t="e">
        <f>t1othertot+t2othertot+t3othertot+t4othertot+t5othertot+t6othertot+t7othertot+t8othertot+t9othertot+t10othertot</f>
        <v>#REF!</v>
      </c>
      <c r="T2" s="70" t="e">
        <f>t1casecount+t2casecount+t3casecount+t4casecount+t5casecount+t6casecount+t7casecount+t8casecount+t9casecount+t10casecount</f>
        <v>#REF!</v>
      </c>
      <c r="U2" s="70" t="e">
        <f>Numecodet1</f>
        <v>#REF!</v>
      </c>
      <c r="V2" s="70" t="e">
        <f>Numealtt1</f>
        <v>#REF!</v>
      </c>
      <c r="W2" s="74">
        <f>t1yobgsal</f>
        <v>0</v>
      </c>
      <c r="X2" s="74">
        <f>t1yobgserv</f>
        <v>0</v>
      </c>
      <c r="Y2" s="74">
        <f>t1yobgprof</f>
        <v>0</v>
      </c>
      <c r="Z2" s="74">
        <f>t1yobgcbo</f>
        <v>0</v>
      </c>
      <c r="AA2" s="74">
        <f>t1yobgequip</f>
        <v>0</v>
      </c>
      <c r="AB2" s="74">
        <f>t1yobgadmin</f>
        <v>0</v>
      </c>
      <c r="AC2" s="74">
        <f>t1yobgothr1</f>
        <v>0</v>
      </c>
      <c r="AD2" s="74">
        <f>t1yobgothr2</f>
        <v>0</v>
      </c>
      <c r="AE2" s="74">
        <f>t1yobgothr3</f>
        <v>0</v>
      </c>
      <c r="AF2" s="74">
        <f>t1yobgtot</f>
        <v>0</v>
      </c>
      <c r="AG2" s="74">
        <f>t1jjcpasal</f>
        <v>132803.155</v>
      </c>
      <c r="AH2" s="74">
        <f>t1jjcpaserv</f>
        <v>0</v>
      </c>
      <c r="AI2" s="74">
        <f>t1jjcpaprof</f>
        <v>0</v>
      </c>
      <c r="AJ2" s="74">
        <f>t1jjcpacbo</f>
        <v>1695205.05</v>
      </c>
      <c r="AK2" s="74">
        <f>t1jjcpaequip</f>
        <v>0</v>
      </c>
      <c r="AL2" s="74">
        <f>t1jjcpaadmin</f>
        <v>0</v>
      </c>
      <c r="AM2" s="74">
        <f>t1jjcpaothr1</f>
        <v>0</v>
      </c>
      <c r="AN2" s="74">
        <f>t1jjcpaothr2</f>
        <v>0</v>
      </c>
      <c r="AO2" s="74">
        <f>t1jjcpaothr3</f>
        <v>0</v>
      </c>
      <c r="AP2" s="74">
        <f>t1jjcpatot</f>
        <v>1828008.2050000001</v>
      </c>
      <c r="AQ2" s="74">
        <f>t1othersal</f>
        <v>0</v>
      </c>
      <c r="AR2" s="74">
        <f>t1otherserv</f>
        <v>0</v>
      </c>
      <c r="AS2" s="74">
        <f>t1otherprof</f>
        <v>0</v>
      </c>
      <c r="AT2" s="74">
        <f>t1othercbo</f>
        <v>0</v>
      </c>
      <c r="AU2" s="74">
        <f>t1otherequip</f>
        <v>0</v>
      </c>
      <c r="AV2" s="74">
        <f>t1otheradmin</f>
        <v>0</v>
      </c>
      <c r="AW2" s="74">
        <f>t1otherothr1</f>
        <v>0</v>
      </c>
      <c r="AX2" s="74">
        <f>t1otherothr2</f>
        <v>0</v>
      </c>
      <c r="AY2" s="74">
        <f>t1otherothr3</f>
        <v>0</v>
      </c>
      <c r="AZ2" s="74">
        <f>t1othertot</f>
        <v>0</v>
      </c>
      <c r="BA2" s="72" t="e">
        <f>t1casecount</f>
        <v>#REF!</v>
      </c>
      <c r="BB2" s="75" t="e">
        <f>t1yobgpercap</f>
        <v>#REF!</v>
      </c>
      <c r="BC2" s="75" t="e">
        <f>t1totpercap</f>
        <v>#REF!</v>
      </c>
      <c r="BD2" s="72" t="e">
        <f>t1youth1</f>
        <v>#REF!</v>
      </c>
      <c r="BE2" s="72" t="e">
        <f>t1youth2</f>
        <v>#REF!</v>
      </c>
      <c r="BF2" s="72" t="e">
        <f>t1youth3</f>
        <v>#REF!</v>
      </c>
      <c r="BG2" s="72" t="e">
        <f>t1youth4</f>
        <v>#REF!</v>
      </c>
      <c r="BH2" s="72" t="e">
        <f>t1youth5</f>
        <v>#REF!</v>
      </c>
      <c r="BI2" s="72" t="e">
        <f>t1youth6</f>
        <v>#REF!</v>
      </c>
      <c r="BJ2" s="70" t="e">
        <f>Numecodet2</f>
        <v>#REF!</v>
      </c>
      <c r="BK2" s="70" t="e">
        <f>Numealtt2</f>
        <v>#REF!</v>
      </c>
      <c r="BL2" s="74" t="e">
        <f>t2yobgsal</f>
        <v>#REF!</v>
      </c>
      <c r="BM2" s="74" t="e">
        <f>t2yobgserv</f>
        <v>#REF!</v>
      </c>
      <c r="BN2" s="74" t="e">
        <f>t2yobgprof</f>
        <v>#REF!</v>
      </c>
      <c r="BO2" s="74" t="e">
        <f>t2yobgcbo</f>
        <v>#REF!</v>
      </c>
      <c r="BP2" s="74" t="e">
        <f>t2yobgequip</f>
        <v>#REF!</v>
      </c>
      <c r="BQ2" s="74" t="e">
        <f>t2yobgadmin</f>
        <v>#REF!</v>
      </c>
      <c r="BR2" s="74" t="e">
        <f>t2yobgothr1</f>
        <v>#REF!</v>
      </c>
      <c r="BS2" s="74" t="e">
        <f>t2yobgothr2</f>
        <v>#REF!</v>
      </c>
      <c r="BT2" s="74" t="e">
        <f>t2yobgothr3</f>
        <v>#REF!</v>
      </c>
      <c r="BU2" s="74" t="e">
        <f>t2yobgtot</f>
        <v>#REF!</v>
      </c>
      <c r="BV2" s="74" t="e">
        <f>t2jjcpasal</f>
        <v>#REF!</v>
      </c>
      <c r="BW2" s="74" t="e">
        <f>t2jjcpaserv</f>
        <v>#REF!</v>
      </c>
      <c r="BX2" s="74" t="e">
        <f>t2jjcpaprof</f>
        <v>#REF!</v>
      </c>
      <c r="BY2" s="74" t="e">
        <f>t2jjcpacbo</f>
        <v>#REF!</v>
      </c>
      <c r="BZ2" s="74" t="e">
        <f>t2jjcpaequip</f>
        <v>#REF!</v>
      </c>
      <c r="CA2" s="74" t="e">
        <f>t2jjcpaadmin</f>
        <v>#REF!</v>
      </c>
      <c r="CB2" s="74" t="e">
        <f>t2jjcpaothr1</f>
        <v>#REF!</v>
      </c>
      <c r="CC2" s="74" t="e">
        <f>t2jjcpaothr2</f>
        <v>#REF!</v>
      </c>
      <c r="CD2" s="74" t="e">
        <f>t2jjcpaothr3</f>
        <v>#REF!</v>
      </c>
      <c r="CE2" s="74" t="e">
        <f>t2jjcpatot</f>
        <v>#REF!</v>
      </c>
      <c r="CF2" s="74" t="e">
        <f>t2othersal</f>
        <v>#REF!</v>
      </c>
      <c r="CG2" s="74" t="e">
        <f>t2otherserv</f>
        <v>#REF!</v>
      </c>
      <c r="CH2" s="74" t="e">
        <f>t2otherprof</f>
        <v>#REF!</v>
      </c>
      <c r="CI2" s="74" t="e">
        <f>t2othercbo</f>
        <v>#REF!</v>
      </c>
      <c r="CJ2" s="74" t="e">
        <f>t2otherequip</f>
        <v>#REF!</v>
      </c>
      <c r="CK2" s="74" t="e">
        <f>t2otheradmin</f>
        <v>#REF!</v>
      </c>
      <c r="CL2" s="74" t="e">
        <f>t2otherothr1</f>
        <v>#REF!</v>
      </c>
      <c r="CM2" s="74" t="e">
        <f>t2otherothr2</f>
        <v>#REF!</v>
      </c>
      <c r="CN2" s="74" t="e">
        <f>t2otherothr3</f>
        <v>#REF!</v>
      </c>
      <c r="CO2" s="74" t="e">
        <f>t2othertot</f>
        <v>#REF!</v>
      </c>
      <c r="CP2" s="72" t="e">
        <f>t2casecount</f>
        <v>#REF!</v>
      </c>
      <c r="CQ2" s="75" t="e">
        <f>t2yobgpercap</f>
        <v>#REF!</v>
      </c>
      <c r="CR2" s="75" t="e">
        <f>t2totpercap</f>
        <v>#REF!</v>
      </c>
      <c r="CS2" s="72" t="e">
        <f>t2youth1</f>
        <v>#REF!</v>
      </c>
      <c r="CT2" s="72" t="e">
        <f>t2youth2</f>
        <v>#REF!</v>
      </c>
      <c r="CU2" s="72" t="e">
        <f>t2youth3</f>
        <v>#REF!</v>
      </c>
      <c r="CV2" s="72" t="e">
        <f>t2youth4</f>
        <v>#REF!</v>
      </c>
      <c r="CW2" s="72" t="e">
        <f>t2youth5</f>
        <v>#REF!</v>
      </c>
      <c r="CX2" s="72" t="e">
        <f>t2youth6</f>
        <v>#REF!</v>
      </c>
      <c r="CY2" s="70" t="e">
        <f>Numecodet3</f>
        <v>#REF!</v>
      </c>
      <c r="CZ2" s="70" t="e">
        <f>Numealtt3</f>
        <v>#REF!</v>
      </c>
      <c r="DA2" s="74" t="e">
        <f>t3yobgsal</f>
        <v>#REF!</v>
      </c>
      <c r="DB2" s="74" t="e">
        <f>t3yobgserv</f>
        <v>#REF!</v>
      </c>
      <c r="DC2" s="74" t="e">
        <f>t3yobgprof</f>
        <v>#REF!</v>
      </c>
      <c r="DD2" s="74" t="e">
        <f>t3yobgcbo</f>
        <v>#REF!</v>
      </c>
      <c r="DE2" s="74" t="e">
        <f>t3yobgequip</f>
        <v>#REF!</v>
      </c>
      <c r="DF2" s="74" t="e">
        <f>t3yobgadmin</f>
        <v>#REF!</v>
      </c>
      <c r="DG2" s="74" t="e">
        <f>t3yobgothr1</f>
        <v>#REF!</v>
      </c>
      <c r="DH2" s="74" t="e">
        <f>t3yobgothr2</f>
        <v>#REF!</v>
      </c>
      <c r="DI2" s="74" t="e">
        <f>t3yobgothr3</f>
        <v>#REF!</v>
      </c>
      <c r="DJ2" s="74" t="e">
        <f>t3yobgtot</f>
        <v>#REF!</v>
      </c>
      <c r="DK2" s="74" t="e">
        <f>t3jjcpasal</f>
        <v>#REF!</v>
      </c>
      <c r="DL2" s="74" t="e">
        <f>t3jjcpaserv</f>
        <v>#REF!</v>
      </c>
      <c r="DM2" s="74" t="e">
        <f>t3jjcpaprof</f>
        <v>#REF!</v>
      </c>
      <c r="DN2" s="74" t="e">
        <f>t3jjcpacbo</f>
        <v>#REF!</v>
      </c>
      <c r="DO2" s="74" t="e">
        <f>t3jjcpaequip</f>
        <v>#REF!</v>
      </c>
      <c r="DP2" s="74" t="e">
        <f>t3jjcpaadmin</f>
        <v>#REF!</v>
      </c>
      <c r="DQ2" s="74" t="e">
        <f>t3jjcpaothr1</f>
        <v>#REF!</v>
      </c>
      <c r="DR2" s="74" t="e">
        <f>t3jjcpaothr2</f>
        <v>#REF!</v>
      </c>
      <c r="DS2" s="74" t="e">
        <f>t3jjcpaothr3</f>
        <v>#REF!</v>
      </c>
      <c r="DT2" s="74" t="e">
        <f>t3jjcpatot</f>
        <v>#REF!</v>
      </c>
      <c r="DU2" s="74" t="e">
        <f>t3othersal</f>
        <v>#REF!</v>
      </c>
      <c r="DV2" s="74" t="e">
        <f>t3otherserv</f>
        <v>#REF!</v>
      </c>
      <c r="DW2" s="74" t="e">
        <f>t3otherprof</f>
        <v>#REF!</v>
      </c>
      <c r="DX2" s="74" t="e">
        <f>t3othercbo</f>
        <v>#REF!</v>
      </c>
      <c r="DY2" s="74" t="e">
        <f>t3otherequip</f>
        <v>#REF!</v>
      </c>
      <c r="DZ2" s="74" t="e">
        <f>t3otheradmin</f>
        <v>#REF!</v>
      </c>
      <c r="EA2" s="74" t="e">
        <f>t3otherothr1</f>
        <v>#REF!</v>
      </c>
      <c r="EB2" s="74" t="e">
        <f>t3otherothr2</f>
        <v>#REF!</v>
      </c>
      <c r="EC2" s="74" t="e">
        <f>t3otherothr3</f>
        <v>#REF!</v>
      </c>
      <c r="ED2" s="74" t="e">
        <f>t3othertot</f>
        <v>#REF!</v>
      </c>
      <c r="EE2" s="72" t="e">
        <f>t3casecount</f>
        <v>#REF!</v>
      </c>
      <c r="EF2" s="75" t="e">
        <f>t3yobgpercap</f>
        <v>#REF!</v>
      </c>
      <c r="EG2" s="75" t="e">
        <f>t3totpercap</f>
        <v>#REF!</v>
      </c>
      <c r="EH2" s="72" t="e">
        <f>t3youth1</f>
        <v>#REF!</v>
      </c>
      <c r="EI2" s="72" t="e">
        <f>t3youth2</f>
        <v>#REF!</v>
      </c>
      <c r="EJ2" s="72" t="e">
        <f>t3youth3</f>
        <v>#REF!</v>
      </c>
      <c r="EK2" s="72" t="e">
        <f>t3youth4</f>
        <v>#REF!</v>
      </c>
      <c r="EL2" s="72" t="e">
        <f>t3youth5</f>
        <v>#REF!</v>
      </c>
      <c r="EM2" s="72" t="e">
        <f>t3youth6</f>
        <v>#REF!</v>
      </c>
      <c r="EN2" s="70" t="e">
        <f>Numecodet4</f>
        <v>#REF!</v>
      </c>
      <c r="EO2" s="70" t="e">
        <f>Numealtt4</f>
        <v>#REF!</v>
      </c>
      <c r="EP2" s="74" t="e">
        <f>t4yobgsal</f>
        <v>#REF!</v>
      </c>
      <c r="EQ2" s="74" t="e">
        <f>t4yobgserv</f>
        <v>#REF!</v>
      </c>
      <c r="ER2" s="74" t="e">
        <f>t4yobgprof</f>
        <v>#REF!</v>
      </c>
      <c r="ES2" s="74" t="e">
        <f>t4yobgcbo</f>
        <v>#REF!</v>
      </c>
      <c r="ET2" s="74" t="e">
        <f>t4yobgequip</f>
        <v>#REF!</v>
      </c>
      <c r="EU2" s="74" t="e">
        <f>t4yobgadmin</f>
        <v>#REF!</v>
      </c>
      <c r="EV2" s="74" t="e">
        <f>t4yobgothr1</f>
        <v>#REF!</v>
      </c>
      <c r="EW2" s="74" t="e">
        <f>t4yobgothr2</f>
        <v>#REF!</v>
      </c>
      <c r="EX2" s="74" t="e">
        <f>t4yobgothr3</f>
        <v>#REF!</v>
      </c>
      <c r="EY2" s="74" t="e">
        <f>t4yobgtot</f>
        <v>#REF!</v>
      </c>
      <c r="EZ2" s="74" t="e">
        <f>t4jjcpasal</f>
        <v>#REF!</v>
      </c>
      <c r="FA2" s="74" t="e">
        <f>t4jjcpaserv</f>
        <v>#REF!</v>
      </c>
      <c r="FB2" s="74" t="e">
        <f>t4jjcpaprof</f>
        <v>#REF!</v>
      </c>
      <c r="FC2" s="74" t="e">
        <f>t4jjcpacbo</f>
        <v>#REF!</v>
      </c>
      <c r="FD2" s="74" t="e">
        <f>t4jjcpaequip</f>
        <v>#REF!</v>
      </c>
      <c r="FE2" s="74" t="e">
        <f>t4jjcpaadmin</f>
        <v>#REF!</v>
      </c>
      <c r="FF2" s="74" t="e">
        <f>t4jjcpaothr1</f>
        <v>#REF!</v>
      </c>
      <c r="FG2" s="74" t="e">
        <f>t4jjcpaothr2</f>
        <v>#REF!</v>
      </c>
      <c r="FH2" s="74" t="e">
        <f>t4jjcpaothr3</f>
        <v>#REF!</v>
      </c>
      <c r="FI2" s="74" t="e">
        <f>t4jjcpatot</f>
        <v>#REF!</v>
      </c>
      <c r="FJ2" s="74" t="e">
        <f>t4othersal</f>
        <v>#REF!</v>
      </c>
      <c r="FK2" s="74" t="e">
        <f>t4otherserv</f>
        <v>#REF!</v>
      </c>
      <c r="FL2" s="74" t="e">
        <f>t4otherprof</f>
        <v>#REF!</v>
      </c>
      <c r="FM2" s="74" t="e">
        <f>t4othercbo</f>
        <v>#REF!</v>
      </c>
      <c r="FN2" s="74" t="e">
        <f>t4otherequip</f>
        <v>#REF!</v>
      </c>
      <c r="FO2" s="74" t="e">
        <f>t4otheradmin</f>
        <v>#REF!</v>
      </c>
      <c r="FP2" s="74" t="e">
        <f>t4otherothr1</f>
        <v>#REF!</v>
      </c>
      <c r="FQ2" s="74" t="e">
        <f>t4otherothr2</f>
        <v>#REF!</v>
      </c>
      <c r="FR2" s="74" t="e">
        <f>t4otherothr3</f>
        <v>#REF!</v>
      </c>
      <c r="FS2" s="74" t="e">
        <f>t4othertot</f>
        <v>#REF!</v>
      </c>
      <c r="FT2" s="72" t="e">
        <f>t4casecount</f>
        <v>#REF!</v>
      </c>
      <c r="FU2" s="75" t="e">
        <f>t4yobgpercap</f>
        <v>#REF!</v>
      </c>
      <c r="FV2" s="75" t="e">
        <f>t4totpercap</f>
        <v>#REF!</v>
      </c>
      <c r="FW2" s="72" t="e">
        <f>t4youth1</f>
        <v>#REF!</v>
      </c>
      <c r="FX2" s="72" t="e">
        <f>t4youth2</f>
        <v>#REF!</v>
      </c>
      <c r="FY2" s="72" t="e">
        <f>t4youth3</f>
        <v>#REF!</v>
      </c>
      <c r="FZ2" s="72" t="e">
        <f>t4youth4</f>
        <v>#REF!</v>
      </c>
      <c r="GA2" s="72" t="e">
        <f>t4youth5</f>
        <v>#REF!</v>
      </c>
      <c r="GB2" s="72" t="e">
        <f>t4youth6</f>
        <v>#REF!</v>
      </c>
      <c r="GC2" s="70" t="e">
        <f>Numecodet5</f>
        <v>#REF!</v>
      </c>
      <c r="GD2" s="70" t="e">
        <f>Numealtt5</f>
        <v>#REF!</v>
      </c>
      <c r="GE2" s="74" t="e">
        <f>t5yobgsal</f>
        <v>#REF!</v>
      </c>
      <c r="GF2" s="74" t="e">
        <f>t5yobgserv</f>
        <v>#REF!</v>
      </c>
      <c r="GG2" s="74" t="e">
        <f>t5yobgprof</f>
        <v>#REF!</v>
      </c>
      <c r="GH2" s="74" t="e">
        <f>t5yobgcbo</f>
        <v>#REF!</v>
      </c>
      <c r="GI2" s="74" t="e">
        <f>t5yobgequip</f>
        <v>#REF!</v>
      </c>
      <c r="GJ2" s="74" t="e">
        <f>t5yobgadmin</f>
        <v>#REF!</v>
      </c>
      <c r="GK2" s="74" t="e">
        <f>t5yobgothr1</f>
        <v>#REF!</v>
      </c>
      <c r="GL2" s="74" t="e">
        <f>t5yobgothr2</f>
        <v>#REF!</v>
      </c>
      <c r="GM2" s="74" t="e">
        <f>t5yobgothr3</f>
        <v>#REF!</v>
      </c>
      <c r="GN2" s="74" t="e">
        <f>t5yobgtot</f>
        <v>#REF!</v>
      </c>
      <c r="GO2" s="74" t="e">
        <f>t5jjcpasal</f>
        <v>#REF!</v>
      </c>
      <c r="GP2" s="74" t="e">
        <f>t5jjcpaserv</f>
        <v>#REF!</v>
      </c>
      <c r="GQ2" s="74" t="e">
        <f>t5jjcpaprof</f>
        <v>#REF!</v>
      </c>
      <c r="GR2" s="74" t="e">
        <f>t5jjcpacbo</f>
        <v>#REF!</v>
      </c>
      <c r="GS2" s="74" t="e">
        <f>t5jjcpaequip</f>
        <v>#REF!</v>
      </c>
      <c r="GT2" s="74" t="e">
        <f>t5jjcpaadmin</f>
        <v>#REF!</v>
      </c>
      <c r="GU2" s="74" t="e">
        <f>t5jjcpaothr1</f>
        <v>#REF!</v>
      </c>
      <c r="GV2" s="74" t="e">
        <f>t5jjcpaothr2</f>
        <v>#REF!</v>
      </c>
      <c r="GW2" s="74" t="e">
        <f>t5jjcpaothr3</f>
        <v>#REF!</v>
      </c>
      <c r="GX2" s="74" t="e">
        <f>t5jjcpatot</f>
        <v>#REF!</v>
      </c>
      <c r="GY2" s="74" t="e">
        <f>t5othersal</f>
        <v>#REF!</v>
      </c>
      <c r="GZ2" s="74" t="e">
        <f>t5otherserv</f>
        <v>#REF!</v>
      </c>
      <c r="HA2" s="74" t="e">
        <f>t5otherprof</f>
        <v>#REF!</v>
      </c>
      <c r="HB2" s="74" t="e">
        <f>t5othercbo</f>
        <v>#REF!</v>
      </c>
      <c r="HC2" s="74" t="e">
        <f>t5otherequip</f>
        <v>#REF!</v>
      </c>
      <c r="HD2" s="74" t="e">
        <f>t5otheradmin</f>
        <v>#REF!</v>
      </c>
      <c r="HE2" s="74" t="e">
        <f>t5otherothr1</f>
        <v>#REF!</v>
      </c>
      <c r="HF2" s="74" t="e">
        <f>t5otherothr2</f>
        <v>#REF!</v>
      </c>
      <c r="HG2" s="74" t="e">
        <f>t5otherothr3</f>
        <v>#REF!</v>
      </c>
      <c r="HH2" s="74" t="e">
        <f>t5othertot</f>
        <v>#REF!</v>
      </c>
      <c r="HI2" s="72" t="e">
        <f>t5casecount</f>
        <v>#REF!</v>
      </c>
      <c r="HJ2" s="75" t="e">
        <f>t5yobgpercap</f>
        <v>#REF!</v>
      </c>
      <c r="HK2" s="75" t="e">
        <f>t5totpercap</f>
        <v>#REF!</v>
      </c>
      <c r="HL2" s="72" t="e">
        <f>t5youth1</f>
        <v>#REF!</v>
      </c>
      <c r="HM2" s="72" t="e">
        <f>t5youth2</f>
        <v>#REF!</v>
      </c>
      <c r="HN2" s="72" t="e">
        <f>t5youth3</f>
        <v>#REF!</v>
      </c>
      <c r="HO2" s="72" t="e">
        <f>t5youth4</f>
        <v>#REF!</v>
      </c>
      <c r="HP2" s="72" t="e">
        <f>t5youth5</f>
        <v>#REF!</v>
      </c>
      <c r="HQ2" s="72"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70" t="s">
        <v>234</v>
      </c>
      <c r="B1" s="70" t="s">
        <v>459</v>
      </c>
      <c r="C1" s="70" t="s">
        <v>460</v>
      </c>
      <c r="D1" s="70" t="s">
        <v>461</v>
      </c>
      <c r="E1" s="70" t="s">
        <v>462</v>
      </c>
      <c r="F1" s="70" t="s">
        <v>463</v>
      </c>
      <c r="G1" s="70" t="s">
        <v>464</v>
      </c>
      <c r="H1" s="70" t="s">
        <v>465</v>
      </c>
      <c r="I1" s="70" t="s">
        <v>466</v>
      </c>
      <c r="J1" s="70" t="s">
        <v>467</v>
      </c>
      <c r="K1" s="70" t="s">
        <v>468</v>
      </c>
      <c r="L1" s="70" t="s">
        <v>469</v>
      </c>
      <c r="M1" s="70" t="s">
        <v>470</v>
      </c>
      <c r="N1" s="70" t="s">
        <v>471</v>
      </c>
      <c r="O1" s="70" t="s">
        <v>472</v>
      </c>
      <c r="P1" s="70" t="s">
        <v>473</v>
      </c>
      <c r="Q1" s="70" t="s">
        <v>474</v>
      </c>
      <c r="R1" s="70" t="s">
        <v>475</v>
      </c>
      <c r="S1" s="70" t="s">
        <v>476</v>
      </c>
      <c r="T1" s="70" t="s">
        <v>477</v>
      </c>
      <c r="U1" s="70" t="s">
        <v>478</v>
      </c>
      <c r="V1" s="70" t="s">
        <v>479</v>
      </c>
      <c r="W1" s="70" t="s">
        <v>480</v>
      </c>
      <c r="X1" s="70" t="s">
        <v>481</v>
      </c>
      <c r="Y1" s="70" t="s">
        <v>482</v>
      </c>
      <c r="Z1" s="70" t="s">
        <v>483</v>
      </c>
      <c r="AA1" s="70" t="s">
        <v>484</v>
      </c>
      <c r="AB1" s="70" t="s">
        <v>485</v>
      </c>
      <c r="AC1" s="70" t="s">
        <v>486</v>
      </c>
      <c r="AD1" s="70" t="s">
        <v>487</v>
      </c>
      <c r="AE1" s="70" t="s">
        <v>488</v>
      </c>
      <c r="AF1" s="70" t="s">
        <v>489</v>
      </c>
      <c r="AG1" s="70" t="s">
        <v>490</v>
      </c>
      <c r="AH1" s="70" t="s">
        <v>491</v>
      </c>
      <c r="AI1" s="70" t="s">
        <v>492</v>
      </c>
      <c r="AJ1" s="70" t="s">
        <v>493</v>
      </c>
      <c r="AK1" s="70" t="s">
        <v>494</v>
      </c>
      <c r="AL1" s="70" t="s">
        <v>495</v>
      </c>
      <c r="AM1" s="70" t="s">
        <v>496</v>
      </c>
      <c r="AN1" s="70" t="s">
        <v>497</v>
      </c>
      <c r="AO1" s="70" t="s">
        <v>498</v>
      </c>
      <c r="AP1" s="70" t="s">
        <v>499</v>
      </c>
      <c r="AQ1" s="70" t="s">
        <v>500</v>
      </c>
      <c r="AR1" s="70" t="s">
        <v>501</v>
      </c>
      <c r="AS1" s="70" t="s">
        <v>502</v>
      </c>
      <c r="AT1" s="70" t="s">
        <v>503</v>
      </c>
      <c r="AU1" s="70" t="s">
        <v>504</v>
      </c>
      <c r="AV1" s="70" t="s">
        <v>505</v>
      </c>
      <c r="AW1" s="70" t="s">
        <v>506</v>
      </c>
      <c r="AX1" s="70" t="s">
        <v>507</v>
      </c>
      <c r="AY1" s="70" t="s">
        <v>508</v>
      </c>
      <c r="AZ1" s="70" t="s">
        <v>509</v>
      </c>
      <c r="BA1" s="70" t="s">
        <v>510</v>
      </c>
      <c r="BB1" s="70" t="s">
        <v>511</v>
      </c>
      <c r="BC1" s="70" t="s">
        <v>512</v>
      </c>
      <c r="BD1" s="70" t="s">
        <v>513</v>
      </c>
      <c r="BE1" s="70" t="s">
        <v>514</v>
      </c>
      <c r="BF1" s="70" t="s">
        <v>515</v>
      </c>
      <c r="BG1" s="70" t="s">
        <v>516</v>
      </c>
      <c r="BH1" s="70" t="s">
        <v>517</v>
      </c>
      <c r="BI1" s="70" t="s">
        <v>518</v>
      </c>
      <c r="BJ1" s="70" t="s">
        <v>519</v>
      </c>
      <c r="BK1" s="70" t="s">
        <v>520</v>
      </c>
      <c r="BL1" s="70" t="s">
        <v>521</v>
      </c>
      <c r="BM1" s="70" t="s">
        <v>522</v>
      </c>
      <c r="BN1" s="70" t="s">
        <v>523</v>
      </c>
      <c r="BO1" s="70" t="s">
        <v>524</v>
      </c>
      <c r="BP1" s="70" t="s">
        <v>525</v>
      </c>
      <c r="BQ1" s="70" t="s">
        <v>526</v>
      </c>
      <c r="BR1" s="70" t="s">
        <v>527</v>
      </c>
      <c r="BS1" s="70" t="s">
        <v>528</v>
      </c>
      <c r="BT1" s="70" t="s">
        <v>529</v>
      </c>
      <c r="BU1" s="70" t="s">
        <v>530</v>
      </c>
      <c r="BV1" s="70" t="s">
        <v>531</v>
      </c>
      <c r="BW1" s="70" t="s">
        <v>532</v>
      </c>
      <c r="BX1" s="70" t="s">
        <v>533</v>
      </c>
      <c r="BY1" s="70" t="s">
        <v>534</v>
      </c>
      <c r="BZ1" s="70" t="s">
        <v>535</v>
      </c>
      <c r="CA1" s="70" t="s">
        <v>536</v>
      </c>
      <c r="CB1" s="70" t="s">
        <v>537</v>
      </c>
      <c r="CC1" s="70" t="s">
        <v>538</v>
      </c>
      <c r="CD1" s="70" t="s">
        <v>539</v>
      </c>
      <c r="CE1" s="70" t="s">
        <v>540</v>
      </c>
      <c r="CF1" s="70" t="s">
        <v>541</v>
      </c>
      <c r="CG1" s="70" t="s">
        <v>542</v>
      </c>
      <c r="CH1" s="70" t="s">
        <v>543</v>
      </c>
      <c r="CI1" s="70" t="s">
        <v>544</v>
      </c>
      <c r="CJ1" s="70" t="s">
        <v>545</v>
      </c>
      <c r="CK1" s="70" t="s">
        <v>546</v>
      </c>
      <c r="CL1" s="70" t="s">
        <v>547</v>
      </c>
      <c r="CM1" s="70" t="s">
        <v>548</v>
      </c>
      <c r="CN1" s="70" t="s">
        <v>549</v>
      </c>
      <c r="CO1" s="70" t="s">
        <v>550</v>
      </c>
      <c r="CP1" s="70" t="s">
        <v>551</v>
      </c>
      <c r="CQ1" s="70" t="s">
        <v>552</v>
      </c>
      <c r="CR1" s="70" t="s">
        <v>553</v>
      </c>
      <c r="CS1" s="70" t="s">
        <v>554</v>
      </c>
      <c r="CT1" s="70" t="s">
        <v>555</v>
      </c>
      <c r="CU1" s="70" t="s">
        <v>556</v>
      </c>
      <c r="CV1" s="70" t="s">
        <v>557</v>
      </c>
      <c r="CW1" s="70" t="s">
        <v>558</v>
      </c>
      <c r="CX1" s="70" t="s">
        <v>559</v>
      </c>
      <c r="CY1" s="70" t="s">
        <v>560</v>
      </c>
      <c r="CZ1" s="70" t="s">
        <v>561</v>
      </c>
      <c r="DA1" s="70" t="s">
        <v>562</v>
      </c>
      <c r="DB1" s="70" t="s">
        <v>563</v>
      </c>
      <c r="DC1" s="70" t="s">
        <v>564</v>
      </c>
      <c r="DD1" s="70" t="s">
        <v>565</v>
      </c>
      <c r="DE1" s="70" t="s">
        <v>566</v>
      </c>
      <c r="DF1" s="70" t="s">
        <v>567</v>
      </c>
      <c r="DG1" s="70" t="s">
        <v>568</v>
      </c>
      <c r="DH1" s="70" t="s">
        <v>569</v>
      </c>
      <c r="DI1" s="70" t="s">
        <v>570</v>
      </c>
      <c r="DJ1" s="70" t="s">
        <v>571</v>
      </c>
      <c r="DK1" s="70" t="s">
        <v>572</v>
      </c>
      <c r="DL1" s="70" t="s">
        <v>573</v>
      </c>
      <c r="DM1" s="70" t="s">
        <v>574</v>
      </c>
      <c r="DN1" s="70" t="s">
        <v>575</v>
      </c>
      <c r="DO1" s="70" t="s">
        <v>576</v>
      </c>
      <c r="DP1" s="70" t="s">
        <v>577</v>
      </c>
      <c r="DQ1" s="70" t="s">
        <v>578</v>
      </c>
      <c r="DR1" s="70" t="s">
        <v>579</v>
      </c>
      <c r="DS1" s="70" t="s">
        <v>580</v>
      </c>
      <c r="DT1" s="70" t="s">
        <v>581</v>
      </c>
      <c r="DU1" s="70" t="s">
        <v>582</v>
      </c>
      <c r="DV1" s="70" t="s">
        <v>583</v>
      </c>
      <c r="DW1" s="70" t="s">
        <v>584</v>
      </c>
      <c r="DX1" s="70" t="s">
        <v>585</v>
      </c>
      <c r="DY1" s="70" t="s">
        <v>586</v>
      </c>
      <c r="DZ1" s="70" t="s">
        <v>587</v>
      </c>
      <c r="EA1" s="70" t="s">
        <v>588</v>
      </c>
      <c r="EB1" s="70" t="s">
        <v>589</v>
      </c>
      <c r="EC1" s="70" t="s">
        <v>590</v>
      </c>
      <c r="ED1" s="70" t="s">
        <v>591</v>
      </c>
      <c r="EE1" s="70" t="s">
        <v>592</v>
      </c>
      <c r="EF1" s="70" t="s">
        <v>593</v>
      </c>
      <c r="EG1" s="70" t="s">
        <v>594</v>
      </c>
      <c r="EH1" s="70" t="s">
        <v>595</v>
      </c>
      <c r="EI1" s="70" t="s">
        <v>596</v>
      </c>
      <c r="EJ1" s="70" t="s">
        <v>597</v>
      </c>
      <c r="EK1" s="70" t="s">
        <v>598</v>
      </c>
      <c r="EL1" s="70" t="s">
        <v>599</v>
      </c>
      <c r="EM1" s="70" t="s">
        <v>600</v>
      </c>
      <c r="EN1" s="70" t="s">
        <v>601</v>
      </c>
      <c r="EO1" s="70" t="s">
        <v>602</v>
      </c>
      <c r="EP1" s="70" t="s">
        <v>603</v>
      </c>
      <c r="EQ1" s="70" t="s">
        <v>604</v>
      </c>
      <c r="ER1" s="70" t="s">
        <v>605</v>
      </c>
      <c r="ES1" s="70" t="s">
        <v>606</v>
      </c>
      <c r="ET1" s="70" t="s">
        <v>607</v>
      </c>
      <c r="EU1" s="70" t="s">
        <v>608</v>
      </c>
      <c r="EV1" s="70" t="s">
        <v>609</v>
      </c>
      <c r="EW1" s="70" t="s">
        <v>610</v>
      </c>
      <c r="EX1" s="70" t="s">
        <v>611</v>
      </c>
      <c r="EY1" s="70" t="s">
        <v>612</v>
      </c>
      <c r="EZ1" s="70" t="s">
        <v>613</v>
      </c>
      <c r="FA1" s="70" t="s">
        <v>614</v>
      </c>
      <c r="FB1" s="70" t="s">
        <v>615</v>
      </c>
      <c r="FC1" s="70" t="s">
        <v>616</v>
      </c>
      <c r="FD1" s="70" t="s">
        <v>617</v>
      </c>
      <c r="FE1" s="70" t="s">
        <v>618</v>
      </c>
      <c r="FF1" s="70" t="s">
        <v>619</v>
      </c>
      <c r="FG1" s="70" t="s">
        <v>620</v>
      </c>
      <c r="FH1" s="70" t="s">
        <v>621</v>
      </c>
      <c r="FI1" s="70" t="s">
        <v>622</v>
      </c>
      <c r="FJ1" s="70" t="s">
        <v>623</v>
      </c>
      <c r="FK1" s="70" t="s">
        <v>624</v>
      </c>
      <c r="FL1" s="70" t="s">
        <v>625</v>
      </c>
      <c r="FM1" s="70" t="s">
        <v>626</v>
      </c>
      <c r="FN1" s="70" t="s">
        <v>627</v>
      </c>
      <c r="FO1" s="70" t="s">
        <v>628</v>
      </c>
      <c r="FP1" s="70" t="s">
        <v>629</v>
      </c>
      <c r="FQ1" s="70" t="s">
        <v>630</v>
      </c>
      <c r="FR1" s="70" t="s">
        <v>631</v>
      </c>
      <c r="FS1" s="70" t="s">
        <v>632</v>
      </c>
      <c r="FT1" s="70" t="s">
        <v>633</v>
      </c>
      <c r="FU1" s="70" t="s">
        <v>634</v>
      </c>
      <c r="FV1" s="70" t="s">
        <v>635</v>
      </c>
      <c r="FW1" s="70" t="s">
        <v>636</v>
      </c>
      <c r="FX1" s="70" t="s">
        <v>637</v>
      </c>
      <c r="FY1" s="70" t="s">
        <v>638</v>
      </c>
      <c r="FZ1" s="70" t="s">
        <v>639</v>
      </c>
      <c r="GA1" s="70" t="s">
        <v>640</v>
      </c>
      <c r="GB1" s="70" t="s">
        <v>641</v>
      </c>
      <c r="GC1" s="70" t="s">
        <v>642</v>
      </c>
      <c r="GD1" s="70" t="s">
        <v>643</v>
      </c>
      <c r="GE1" s="70" t="s">
        <v>644</v>
      </c>
      <c r="GF1" s="70" t="s">
        <v>645</v>
      </c>
      <c r="GG1" s="70" t="s">
        <v>646</v>
      </c>
      <c r="GH1" s="70" t="s">
        <v>647</v>
      </c>
      <c r="GI1" s="70" t="s">
        <v>648</v>
      </c>
      <c r="GJ1" s="70" t="s">
        <v>649</v>
      </c>
      <c r="GK1" s="70" t="s">
        <v>650</v>
      </c>
      <c r="GL1" s="70" t="s">
        <v>651</v>
      </c>
      <c r="GM1" s="70" t="s">
        <v>652</v>
      </c>
      <c r="GN1" s="70" t="s">
        <v>653</v>
      </c>
      <c r="GO1" s="70" t="s">
        <v>654</v>
      </c>
      <c r="GP1" s="70" t="s">
        <v>655</v>
      </c>
      <c r="GQ1" s="70" t="s">
        <v>656</v>
      </c>
      <c r="GR1" s="70" t="s">
        <v>657</v>
      </c>
      <c r="GS1" s="70" t="s">
        <v>658</v>
      </c>
      <c r="GT1" s="70" t="s">
        <v>659</v>
      </c>
      <c r="GU1" s="70" t="s">
        <v>660</v>
      </c>
      <c r="GV1" s="70" t="s">
        <v>661</v>
      </c>
      <c r="GW1" s="70" t="s">
        <v>662</v>
      </c>
      <c r="GX1" s="70" t="s">
        <v>663</v>
      </c>
      <c r="GY1" s="70" t="s">
        <v>664</v>
      </c>
      <c r="GZ1" s="70" t="s">
        <v>198</v>
      </c>
      <c r="HA1" s="70" t="s">
        <v>665</v>
      </c>
      <c r="HB1" s="70" t="s">
        <v>666</v>
      </c>
      <c r="HC1" s="70" t="s">
        <v>667</v>
      </c>
      <c r="HD1" s="70" t="s">
        <v>668</v>
      </c>
      <c r="HE1" s="70" t="s">
        <v>669</v>
      </c>
      <c r="HF1" s="70" t="s">
        <v>670</v>
      </c>
      <c r="HG1" s="70" t="s">
        <v>671</v>
      </c>
      <c r="HH1" s="70" t="s">
        <v>672</v>
      </c>
      <c r="HI1" s="70" t="s">
        <v>673</v>
      </c>
      <c r="HJ1" s="70" t="s">
        <v>674</v>
      </c>
      <c r="HK1" s="70" t="s">
        <v>675</v>
      </c>
      <c r="HL1" s="70" t="s">
        <v>676</v>
      </c>
      <c r="HM1" s="70" t="s">
        <v>677</v>
      </c>
      <c r="HN1" s="70" t="s">
        <v>678</v>
      </c>
      <c r="HO1" s="70" t="s">
        <v>679</v>
      </c>
      <c r="HP1" s="70" t="s">
        <v>680</v>
      </c>
      <c r="HQ1" s="70" t="s">
        <v>681</v>
      </c>
    </row>
    <row r="2" spans="1:225" ht="12.75" customHeight="1">
      <c r="A2" s="78" t="str">
        <f>County</f>
        <v>San Francisco</v>
      </c>
      <c r="B2" s="70" t="e">
        <f>Numecodet6</f>
        <v>#REF!</v>
      </c>
      <c r="C2" s="70" t="e">
        <f>Numealtt6</f>
        <v>#REF!</v>
      </c>
      <c r="D2" s="74" t="e">
        <f>t6yobgsal</f>
        <v>#REF!</v>
      </c>
      <c r="E2" s="74" t="e">
        <f>t6yobgserv</f>
        <v>#REF!</v>
      </c>
      <c r="F2" s="74" t="e">
        <f>t6yobgprof</f>
        <v>#REF!</v>
      </c>
      <c r="G2" s="74" t="e">
        <f>t6yobgcbo</f>
        <v>#REF!</v>
      </c>
      <c r="H2" s="74" t="e">
        <f>t6yobgequip</f>
        <v>#REF!</v>
      </c>
      <c r="I2" s="74" t="e">
        <f>t6yobgadmin</f>
        <v>#REF!</v>
      </c>
      <c r="J2" s="74" t="e">
        <f>t6yobgothr1</f>
        <v>#REF!</v>
      </c>
      <c r="K2" s="74" t="e">
        <f>t6yobgothr2</f>
        <v>#REF!</v>
      </c>
      <c r="L2" s="74" t="e">
        <f>t6yobgothr3</f>
        <v>#REF!</v>
      </c>
      <c r="M2" s="74" t="e">
        <f>t6yobgtot</f>
        <v>#REF!</v>
      </c>
      <c r="N2" s="74" t="e">
        <f>t6jjcpasal</f>
        <v>#REF!</v>
      </c>
      <c r="O2" s="74" t="e">
        <f>t6jjcpaserv</f>
        <v>#REF!</v>
      </c>
      <c r="P2" s="74" t="e">
        <f>t6jjcpaprof</f>
        <v>#REF!</v>
      </c>
      <c r="Q2" s="74" t="e">
        <f>t6jjcpacbo</f>
        <v>#REF!</v>
      </c>
      <c r="R2" s="74" t="e">
        <f>t6jjcpaequip</f>
        <v>#REF!</v>
      </c>
      <c r="S2" s="74" t="e">
        <f>t6jjcpaadmin</f>
        <v>#REF!</v>
      </c>
      <c r="T2" s="74" t="e">
        <f>t6jjcpaothr1</f>
        <v>#REF!</v>
      </c>
      <c r="U2" s="74" t="e">
        <f>t6jjcpaothr2</f>
        <v>#REF!</v>
      </c>
      <c r="V2" s="74" t="e">
        <f>t6jjcpaothr3</f>
        <v>#REF!</v>
      </c>
      <c r="W2" s="74" t="e">
        <f>t6jjcpatot</f>
        <v>#REF!</v>
      </c>
      <c r="X2" s="74" t="e">
        <f>t6othersal</f>
        <v>#REF!</v>
      </c>
      <c r="Y2" s="74" t="e">
        <f>t6otherserv</f>
        <v>#REF!</v>
      </c>
      <c r="Z2" s="74" t="e">
        <f>t6otherprof</f>
        <v>#REF!</v>
      </c>
      <c r="AA2" s="74" t="e">
        <f>t6othercbo</f>
        <v>#REF!</v>
      </c>
      <c r="AB2" s="74" t="e">
        <f>t6otherequip</f>
        <v>#REF!</v>
      </c>
      <c r="AC2" s="74" t="e">
        <f>t6otheradmin</f>
        <v>#REF!</v>
      </c>
      <c r="AD2" s="74" t="e">
        <f>t6otherothr1</f>
        <v>#REF!</v>
      </c>
      <c r="AE2" s="74" t="e">
        <f>t6otherothr2</f>
        <v>#REF!</v>
      </c>
      <c r="AF2" s="74" t="e">
        <f>t6otherothr3</f>
        <v>#REF!</v>
      </c>
      <c r="AG2" s="74" t="e">
        <f>t6othertot</f>
        <v>#REF!</v>
      </c>
      <c r="AH2" s="72" t="e">
        <f>t6casecount</f>
        <v>#REF!</v>
      </c>
      <c r="AI2" s="75" t="e">
        <f>t6yobgpercap</f>
        <v>#REF!</v>
      </c>
      <c r="AJ2" s="75" t="e">
        <f>t6totpercap</f>
        <v>#REF!</v>
      </c>
      <c r="AK2" s="72" t="e">
        <f>t6youth1</f>
        <v>#REF!</v>
      </c>
      <c r="AL2" s="72" t="e">
        <f>t6youth2</f>
        <v>#REF!</v>
      </c>
      <c r="AM2" s="72" t="e">
        <f>t6youth3</f>
        <v>#REF!</v>
      </c>
      <c r="AN2" s="72" t="e">
        <f>t6youth4</f>
        <v>#REF!</v>
      </c>
      <c r="AO2" s="72" t="e">
        <f>t6youth5</f>
        <v>#REF!</v>
      </c>
      <c r="AP2" s="72" t="e">
        <f>t6youth6</f>
        <v>#REF!</v>
      </c>
      <c r="AQ2" s="70" t="e">
        <f>Numecodet7</f>
        <v>#REF!</v>
      </c>
      <c r="AR2" s="70" t="e">
        <f>Numealtt7</f>
        <v>#REF!</v>
      </c>
      <c r="AS2" s="74" t="e">
        <f>t7yobgsal</f>
        <v>#REF!</v>
      </c>
      <c r="AT2" s="74" t="e">
        <f>t7yobgserv</f>
        <v>#REF!</v>
      </c>
      <c r="AU2" s="74" t="e">
        <f>t7yobgprof</f>
        <v>#REF!</v>
      </c>
      <c r="AV2" s="74" t="e">
        <f>t7yobgcbo</f>
        <v>#REF!</v>
      </c>
      <c r="AW2" s="74" t="e">
        <f>t7yobgequip</f>
        <v>#REF!</v>
      </c>
      <c r="AX2" s="74" t="e">
        <f>t7yobgadmin</f>
        <v>#REF!</v>
      </c>
      <c r="AY2" s="74" t="e">
        <f>t7yobgothr1</f>
        <v>#REF!</v>
      </c>
      <c r="AZ2" s="74" t="e">
        <f>t7yobgothr2</f>
        <v>#REF!</v>
      </c>
      <c r="BA2" s="74" t="e">
        <f>t7yobgothr3</f>
        <v>#REF!</v>
      </c>
      <c r="BB2" s="74" t="e">
        <f>t7yobgtot</f>
        <v>#REF!</v>
      </c>
      <c r="BC2" s="74" t="e">
        <f>t7jjcpasal</f>
        <v>#REF!</v>
      </c>
      <c r="BD2" s="74" t="e">
        <f>t7jjcpaserv</f>
        <v>#REF!</v>
      </c>
      <c r="BE2" s="74" t="e">
        <f>t7jjcpaprof</f>
        <v>#REF!</v>
      </c>
      <c r="BF2" s="74" t="e">
        <f>t7jjcpacbo</f>
        <v>#REF!</v>
      </c>
      <c r="BG2" s="74" t="e">
        <f>t7jjcpaequip</f>
        <v>#REF!</v>
      </c>
      <c r="BH2" s="74" t="e">
        <f>t7jjcpaadmin</f>
        <v>#REF!</v>
      </c>
      <c r="BI2" s="74" t="e">
        <f>t7jjcpaothr1</f>
        <v>#REF!</v>
      </c>
      <c r="BJ2" s="74" t="e">
        <f>t7jjcpaothr2</f>
        <v>#REF!</v>
      </c>
      <c r="BK2" s="74" t="e">
        <f>t7jjcpaothr3</f>
        <v>#REF!</v>
      </c>
      <c r="BL2" s="74" t="e">
        <f>t7jjcpatot</f>
        <v>#REF!</v>
      </c>
      <c r="BM2" s="74" t="e">
        <f>t7othersal</f>
        <v>#REF!</v>
      </c>
      <c r="BN2" s="74" t="e">
        <f>t7otherserv</f>
        <v>#REF!</v>
      </c>
      <c r="BO2" s="74" t="e">
        <f>t7otherprof</f>
        <v>#REF!</v>
      </c>
      <c r="BP2" s="74" t="e">
        <f>t7othercbo</f>
        <v>#REF!</v>
      </c>
      <c r="BQ2" s="74" t="e">
        <f>t7otherequip</f>
        <v>#REF!</v>
      </c>
      <c r="BR2" s="74" t="e">
        <f>t7otheradmin</f>
        <v>#REF!</v>
      </c>
      <c r="BS2" s="74" t="e">
        <f>t7otherothr1</f>
        <v>#REF!</v>
      </c>
      <c r="BT2" s="74" t="e">
        <f>t7otherothr2</f>
        <v>#REF!</v>
      </c>
      <c r="BU2" s="74" t="e">
        <f>t7otherothr3</f>
        <v>#REF!</v>
      </c>
      <c r="BV2" s="74" t="e">
        <f>t7othertot</f>
        <v>#REF!</v>
      </c>
      <c r="BW2" s="72" t="e">
        <f>t7casecount</f>
        <v>#REF!</v>
      </c>
      <c r="BX2" s="75" t="e">
        <f>t7yobgpercap</f>
        <v>#REF!</v>
      </c>
      <c r="BY2" s="75" t="e">
        <f>t7totpercap</f>
        <v>#REF!</v>
      </c>
      <c r="BZ2" s="72" t="e">
        <f>t7youth1</f>
        <v>#REF!</v>
      </c>
      <c r="CA2" s="72" t="e">
        <f>t7youth2</f>
        <v>#REF!</v>
      </c>
      <c r="CB2" s="72" t="e">
        <f>t7youth3</f>
        <v>#REF!</v>
      </c>
      <c r="CC2" s="72" t="e">
        <f>t7youth4</f>
        <v>#REF!</v>
      </c>
      <c r="CD2" s="72" t="e">
        <f>t7youth5</f>
        <v>#REF!</v>
      </c>
      <c r="CE2" s="72" t="e">
        <f>t7youth6</f>
        <v>#REF!</v>
      </c>
      <c r="CF2" s="70" t="e">
        <f>Numecodet8</f>
        <v>#REF!</v>
      </c>
      <c r="CG2" s="70" t="e">
        <f>Numealtt8</f>
        <v>#REF!</v>
      </c>
      <c r="CH2" s="74" t="e">
        <f>t8yobgsal</f>
        <v>#REF!</v>
      </c>
      <c r="CI2" s="74" t="e">
        <f>t8yobgserv</f>
        <v>#REF!</v>
      </c>
      <c r="CJ2" s="74" t="e">
        <f>t8yobgprof</f>
        <v>#REF!</v>
      </c>
      <c r="CK2" s="74" t="e">
        <f>t8yobgcbo</f>
        <v>#REF!</v>
      </c>
      <c r="CL2" s="74" t="e">
        <f>t8yobgequip</f>
        <v>#REF!</v>
      </c>
      <c r="CM2" s="74" t="e">
        <f>t8yobgadmin</f>
        <v>#REF!</v>
      </c>
      <c r="CN2" s="74" t="e">
        <f>t8yobgothr1</f>
        <v>#REF!</v>
      </c>
      <c r="CO2" s="74" t="e">
        <f>t8yobgothr2</f>
        <v>#REF!</v>
      </c>
      <c r="CP2" s="74" t="e">
        <f>t8yobgothr3</f>
        <v>#REF!</v>
      </c>
      <c r="CQ2" s="74" t="e">
        <f>t8yobgtot</f>
        <v>#REF!</v>
      </c>
      <c r="CR2" s="74" t="e">
        <f>t8jjcpasal</f>
        <v>#REF!</v>
      </c>
      <c r="CS2" s="74" t="e">
        <f>t8jjcpaserv</f>
        <v>#REF!</v>
      </c>
      <c r="CT2" s="74" t="e">
        <f>t8jjcpaprof</f>
        <v>#REF!</v>
      </c>
      <c r="CU2" s="74" t="e">
        <f>t8jjcpacbo</f>
        <v>#REF!</v>
      </c>
      <c r="CV2" s="74" t="e">
        <f>t8jjcpaequip</f>
        <v>#REF!</v>
      </c>
      <c r="CW2" s="74" t="e">
        <f>t8jjcpaadmin</f>
        <v>#REF!</v>
      </c>
      <c r="CX2" s="74" t="e">
        <f>t8jjcpaothr1</f>
        <v>#REF!</v>
      </c>
      <c r="CY2" s="74" t="e">
        <f>t8jjcpaothr2</f>
        <v>#REF!</v>
      </c>
      <c r="CZ2" s="74" t="e">
        <f>t8jjcpaothr3</f>
        <v>#REF!</v>
      </c>
      <c r="DA2" s="74" t="e">
        <f>t8jjcpatot</f>
        <v>#REF!</v>
      </c>
      <c r="DB2" s="74" t="e">
        <f>t8othersal</f>
        <v>#REF!</v>
      </c>
      <c r="DC2" s="74" t="e">
        <f>t8otherserv</f>
        <v>#REF!</v>
      </c>
      <c r="DD2" s="74" t="e">
        <f>t8otherprof</f>
        <v>#REF!</v>
      </c>
      <c r="DE2" s="74" t="e">
        <f>t8othercbo</f>
        <v>#REF!</v>
      </c>
      <c r="DF2" s="74" t="e">
        <f>t8otherequip</f>
        <v>#REF!</v>
      </c>
      <c r="DG2" s="74" t="e">
        <f>t8otheradmin</f>
        <v>#REF!</v>
      </c>
      <c r="DH2" s="74" t="e">
        <f>t8otherothr1</f>
        <v>#REF!</v>
      </c>
      <c r="DI2" s="74" t="e">
        <f>t8otherothr2</f>
        <v>#REF!</v>
      </c>
      <c r="DJ2" s="74" t="e">
        <f>t8otherothr3</f>
        <v>#REF!</v>
      </c>
      <c r="DK2" s="74" t="e">
        <f>t8othertot</f>
        <v>#REF!</v>
      </c>
      <c r="DL2" s="72" t="e">
        <f>t8casecount</f>
        <v>#REF!</v>
      </c>
      <c r="DM2" s="75" t="e">
        <f>t8yobgpercap</f>
        <v>#REF!</v>
      </c>
      <c r="DN2" s="75" t="e">
        <f>t8totpercap</f>
        <v>#REF!</v>
      </c>
      <c r="DO2" s="72" t="e">
        <f>t8youth1</f>
        <v>#REF!</v>
      </c>
      <c r="DP2" s="72" t="e">
        <f>t8youth2</f>
        <v>#REF!</v>
      </c>
      <c r="DQ2" s="72" t="e">
        <f>t8youth3</f>
        <v>#REF!</v>
      </c>
      <c r="DR2" s="72" t="e">
        <f>t8youth4</f>
        <v>#REF!</v>
      </c>
      <c r="DS2" s="72" t="e">
        <f>t8youth5</f>
        <v>#REF!</v>
      </c>
      <c r="DT2" s="72" t="e">
        <f>t8youth6</f>
        <v>#REF!</v>
      </c>
      <c r="DU2" s="70" t="e">
        <f>Numecodet9</f>
        <v>#REF!</v>
      </c>
      <c r="DV2" s="70" t="e">
        <f>Numealtt9</f>
        <v>#REF!</v>
      </c>
      <c r="DW2" s="74" t="e">
        <f>t9yobgsal</f>
        <v>#REF!</v>
      </c>
      <c r="DX2" s="74" t="e">
        <f>t9yobgserv</f>
        <v>#REF!</v>
      </c>
      <c r="DY2" s="74" t="e">
        <f>t9yobgprof</f>
        <v>#REF!</v>
      </c>
      <c r="DZ2" s="74" t="e">
        <f>t9yobgcbo</f>
        <v>#REF!</v>
      </c>
      <c r="EA2" s="74" t="e">
        <f>t9yobgequip</f>
        <v>#REF!</v>
      </c>
      <c r="EB2" s="74" t="e">
        <f>t9yobgadmin</f>
        <v>#REF!</v>
      </c>
      <c r="EC2" s="74" t="e">
        <f>t9yobgothr1</f>
        <v>#REF!</v>
      </c>
      <c r="ED2" s="74" t="e">
        <f>t9yobgothr2</f>
        <v>#REF!</v>
      </c>
      <c r="EE2" s="74" t="e">
        <f>t9yobgothr3</f>
        <v>#REF!</v>
      </c>
      <c r="EF2" s="74" t="e">
        <f>t9yobgtot</f>
        <v>#REF!</v>
      </c>
      <c r="EG2" s="74" t="e">
        <f>t9jjcpasal</f>
        <v>#REF!</v>
      </c>
      <c r="EH2" s="74" t="e">
        <f>t9jjcpaserv</f>
        <v>#REF!</v>
      </c>
      <c r="EI2" s="74" t="e">
        <f>t9jjcpaprof</f>
        <v>#REF!</v>
      </c>
      <c r="EJ2" s="74" t="e">
        <f>t9jjcpacbo</f>
        <v>#REF!</v>
      </c>
      <c r="EK2" s="74" t="e">
        <f>t9jjcpaequip</f>
        <v>#REF!</v>
      </c>
      <c r="EL2" s="74" t="e">
        <f>t9jjcpaadmin</f>
        <v>#REF!</v>
      </c>
      <c r="EM2" s="74" t="e">
        <f>t9jjcpaothr1</f>
        <v>#REF!</v>
      </c>
      <c r="EN2" s="74" t="e">
        <f>t9jjcpaothr2</f>
        <v>#REF!</v>
      </c>
      <c r="EO2" s="74" t="e">
        <f>t9jjcpaothr3</f>
        <v>#REF!</v>
      </c>
      <c r="EP2" s="74" t="e">
        <f>t9jjcpatot</f>
        <v>#REF!</v>
      </c>
      <c r="EQ2" s="74" t="e">
        <f>t9othersal</f>
        <v>#REF!</v>
      </c>
      <c r="ER2" s="74" t="e">
        <f>t9otherserv</f>
        <v>#REF!</v>
      </c>
      <c r="ES2" s="74" t="e">
        <f>t9otherprof</f>
        <v>#REF!</v>
      </c>
      <c r="ET2" s="74" t="e">
        <f>t9othercbo</f>
        <v>#REF!</v>
      </c>
      <c r="EU2" s="74" t="e">
        <f>t9otherequip</f>
        <v>#REF!</v>
      </c>
      <c r="EV2" s="74" t="e">
        <f>t9otheradmin</f>
        <v>#REF!</v>
      </c>
      <c r="EW2" s="74" t="e">
        <f>t9otherothr1</f>
        <v>#REF!</v>
      </c>
      <c r="EX2" s="74" t="e">
        <f>t9otherothr2</f>
        <v>#REF!</v>
      </c>
      <c r="EY2" s="74" t="e">
        <f>t9otherothr3</f>
        <v>#REF!</v>
      </c>
      <c r="EZ2" s="74" t="e">
        <f>t9othertot</f>
        <v>#REF!</v>
      </c>
      <c r="FA2" s="72" t="e">
        <f>t9casecount</f>
        <v>#REF!</v>
      </c>
      <c r="FB2" s="75" t="e">
        <f>t9yobgpercap</f>
        <v>#REF!</v>
      </c>
      <c r="FC2" s="75" t="e">
        <f>t9totpercap</f>
        <v>#REF!</v>
      </c>
      <c r="FD2" s="72" t="e">
        <f>t9youth1</f>
        <v>#REF!</v>
      </c>
      <c r="FE2" s="72" t="e">
        <f>t9youth2</f>
        <v>#REF!</v>
      </c>
      <c r="FF2" s="72" t="e">
        <f>t9youth3</f>
        <v>#REF!</v>
      </c>
      <c r="FG2" s="72" t="e">
        <f>t9youth4</f>
        <v>#REF!</v>
      </c>
      <c r="FH2" s="72" t="e">
        <f>t9youth5</f>
        <v>#REF!</v>
      </c>
      <c r="FI2" s="72" t="e">
        <f>t9youth6</f>
        <v>#REF!</v>
      </c>
      <c r="FJ2" s="70" t="e">
        <f>Numecodet10</f>
        <v>#REF!</v>
      </c>
      <c r="FK2" s="70" t="e">
        <f>Numealtt10</f>
        <v>#REF!</v>
      </c>
      <c r="FL2" s="74" t="e">
        <f>t10yobgsal</f>
        <v>#REF!</v>
      </c>
      <c r="FM2" s="74" t="e">
        <f>t10yobgserv</f>
        <v>#REF!</v>
      </c>
      <c r="FN2" s="74" t="e">
        <f>t10yobgprof</f>
        <v>#REF!</v>
      </c>
      <c r="FO2" s="74" t="e">
        <f>t10yobgcbo</f>
        <v>#REF!</v>
      </c>
      <c r="FP2" s="74" t="e">
        <f>t10yobgequip</f>
        <v>#REF!</v>
      </c>
      <c r="FQ2" s="74" t="e">
        <f>t10yobgadmin</f>
        <v>#REF!</v>
      </c>
      <c r="FR2" s="74" t="e">
        <f>t10yobgothr1</f>
        <v>#REF!</v>
      </c>
      <c r="FS2" s="74" t="e">
        <f>t10yobgothr2</f>
        <v>#REF!</v>
      </c>
      <c r="FT2" s="74" t="e">
        <f>t10yobgothr3</f>
        <v>#REF!</v>
      </c>
      <c r="FU2" s="74" t="e">
        <f>t10yobgtot</f>
        <v>#REF!</v>
      </c>
      <c r="FV2" s="74" t="e">
        <f>t10jjcpasal</f>
        <v>#REF!</v>
      </c>
      <c r="FW2" s="74" t="e">
        <f>t10jjcpaserv</f>
        <v>#REF!</v>
      </c>
      <c r="FX2" s="74" t="e">
        <f>t10jjcpaprof</f>
        <v>#REF!</v>
      </c>
      <c r="FY2" s="74" t="e">
        <f>t10jjcpacbo</f>
        <v>#REF!</v>
      </c>
      <c r="FZ2" s="74" t="e">
        <f>t10jjcpaequip</f>
        <v>#REF!</v>
      </c>
      <c r="GA2" s="74" t="e">
        <f>t10jjcpaadmin</f>
        <v>#REF!</v>
      </c>
      <c r="GB2" s="74" t="e">
        <f>t10jjcpaothr1</f>
        <v>#REF!</v>
      </c>
      <c r="GC2" s="74" t="e">
        <f>t10jjcpaothr2</f>
        <v>#REF!</v>
      </c>
      <c r="GD2" s="74" t="e">
        <f>t10jjcpaothr3</f>
        <v>#REF!</v>
      </c>
      <c r="GE2" s="74" t="e">
        <f>t10jjcpatot</f>
        <v>#REF!</v>
      </c>
      <c r="GF2" s="74" t="e">
        <f>t10othersal</f>
        <v>#REF!</v>
      </c>
      <c r="GG2" s="74" t="e">
        <f>t10otherserv</f>
        <v>#REF!</v>
      </c>
      <c r="GH2" s="74" t="e">
        <f>t10otherprof</f>
        <v>#REF!</v>
      </c>
      <c r="GI2" s="74" t="e">
        <f>t10othercbo</f>
        <v>#REF!</v>
      </c>
      <c r="GJ2" s="74" t="e">
        <f>t10otherequip</f>
        <v>#REF!</v>
      </c>
      <c r="GK2" s="74" t="e">
        <f>t10otheradmin</f>
        <v>#REF!</v>
      </c>
      <c r="GL2" s="74" t="e">
        <f>t10otherothr1</f>
        <v>#REF!</v>
      </c>
      <c r="GM2" s="74" t="e">
        <f>t10otherothr2</f>
        <v>#REF!</v>
      </c>
      <c r="GN2" s="74" t="e">
        <f>t10otherothr3</f>
        <v>#REF!</v>
      </c>
      <c r="GO2" s="74" t="e">
        <f>t10othertot</f>
        <v>#REF!</v>
      </c>
      <c r="GP2" s="72" t="e">
        <f>t10casecount</f>
        <v>#REF!</v>
      </c>
      <c r="GQ2" s="75" t="e">
        <f>t10yobgpercap</f>
        <v>#REF!</v>
      </c>
      <c r="GR2" s="75" t="e">
        <f>t10totpercap</f>
        <v>#REF!</v>
      </c>
      <c r="GS2" s="72" t="e">
        <f>t10youth1</f>
        <v>#REF!</v>
      </c>
      <c r="GT2" s="72" t="e">
        <f>t10youth2</f>
        <v>#REF!</v>
      </c>
      <c r="GU2" s="72" t="e">
        <f>t10youth3</f>
        <v>#REF!</v>
      </c>
      <c r="GV2" s="72" t="e">
        <f>t10youth4</f>
        <v>#REF!</v>
      </c>
      <c r="GW2" s="72" t="e">
        <f>t10youth5</f>
        <v>#REF!</v>
      </c>
      <c r="GX2" s="72" t="e">
        <f>t10youth6</f>
        <v>#REF!</v>
      </c>
      <c r="GY2" s="72">
        <f>asi</f>
        <v>0</v>
      </c>
      <c r="GZ2" s="72">
        <f>bot</f>
        <v>0</v>
      </c>
      <c r="HA2" s="72">
        <f>COMPAS</f>
        <v>0</v>
      </c>
      <c r="HB2" s="72">
        <f>JAIS</f>
        <v>0</v>
      </c>
      <c r="HC2" s="72">
        <f>LSIR</f>
        <v>0</v>
      </c>
      <c r="HD2" s="72">
        <f>MAYSI2</f>
        <v>0</v>
      </c>
      <c r="HE2" s="72">
        <f>MAYSI</f>
        <v>0</v>
      </c>
      <c r="HF2" s="72">
        <f>NIC</f>
        <v>0</v>
      </c>
      <c r="HG2" s="72">
        <f>PACT</f>
        <v>0</v>
      </c>
      <c r="HH2" s="72">
        <f>RRC</f>
        <v>0</v>
      </c>
      <c r="HI2" s="72">
        <f>YLSCMI</f>
        <v>0</v>
      </c>
      <c r="HJ2" s="72">
        <f>othrassessmentname1</f>
        <v>0</v>
      </c>
      <c r="HK2" s="72">
        <f>othrassess1</f>
        <v>0</v>
      </c>
      <c r="HL2" s="72">
        <f>othrassessmentname2</f>
        <v>0</v>
      </c>
      <c r="HM2" s="72">
        <f>othrassess2</f>
        <v>0</v>
      </c>
      <c r="HN2" s="72">
        <f>othrassessmentname3</f>
        <v>0</v>
      </c>
      <c r="HO2" s="72">
        <f>othrassess3</f>
        <v>0</v>
      </c>
      <c r="HP2" s="72">
        <f>othrassessmentname4</f>
        <v>0</v>
      </c>
      <c r="HQ2" s="72">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70" t="s">
        <v>234</v>
      </c>
      <c r="B1" s="70" t="s">
        <v>682</v>
      </c>
      <c r="C1" s="70" t="s">
        <v>683</v>
      </c>
      <c r="D1" s="70" t="s">
        <v>684</v>
      </c>
      <c r="E1" s="70" t="s">
        <v>685</v>
      </c>
      <c r="F1" s="70" t="s">
        <v>686</v>
      </c>
      <c r="G1" s="70" t="s">
        <v>687</v>
      </c>
      <c r="H1" s="70" t="s">
        <v>688</v>
      </c>
      <c r="I1" s="70" t="s">
        <v>689</v>
      </c>
      <c r="J1" s="70" t="s">
        <v>254</v>
      </c>
      <c r="K1" s="70" t="s">
        <v>255</v>
      </c>
      <c r="L1" s="70" t="s">
        <v>690</v>
      </c>
      <c r="M1" s="70" t="s">
        <v>691</v>
      </c>
      <c r="N1" s="70" t="s">
        <v>286</v>
      </c>
      <c r="O1" s="70" t="s">
        <v>287</v>
      </c>
      <c r="P1" s="70" t="s">
        <v>288</v>
      </c>
      <c r="Q1" s="70" t="s">
        <v>692</v>
      </c>
      <c r="R1" s="70" t="s">
        <v>693</v>
      </c>
      <c r="S1" s="70" t="s">
        <v>694</v>
      </c>
      <c r="T1" s="70" t="s">
        <v>695</v>
      </c>
      <c r="U1" s="70" t="s">
        <v>696</v>
      </c>
      <c r="V1" s="70" t="s">
        <v>697</v>
      </c>
      <c r="W1" s="70" t="s">
        <v>698</v>
      </c>
      <c r="X1" s="70" t="s">
        <v>295</v>
      </c>
      <c r="Y1" s="70" t="s">
        <v>296</v>
      </c>
      <c r="Z1" s="70" t="s">
        <v>699</v>
      </c>
      <c r="AA1" s="70" t="s">
        <v>700</v>
      </c>
      <c r="AB1" s="70" t="s">
        <v>327</v>
      </c>
      <c r="AC1" s="70" t="s">
        <v>328</v>
      </c>
      <c r="AD1" s="70" t="s">
        <v>329</v>
      </c>
      <c r="AE1" s="70" t="s">
        <v>701</v>
      </c>
      <c r="AF1" s="70" t="s">
        <v>702</v>
      </c>
      <c r="AG1" s="70" t="s">
        <v>703</v>
      </c>
      <c r="AH1" s="70" t="s">
        <v>704</v>
      </c>
      <c r="AI1" s="70" t="s">
        <v>705</v>
      </c>
      <c r="AJ1" s="70" t="s">
        <v>706</v>
      </c>
      <c r="AK1" s="70" t="s">
        <v>707</v>
      </c>
      <c r="AL1" s="70" t="s">
        <v>336</v>
      </c>
      <c r="AM1" s="70" t="s">
        <v>337</v>
      </c>
      <c r="AN1" s="70" t="s">
        <v>708</v>
      </c>
      <c r="AO1" s="70" t="s">
        <v>709</v>
      </c>
      <c r="AP1" s="70" t="s">
        <v>368</v>
      </c>
      <c r="AQ1" s="70" t="s">
        <v>369</v>
      </c>
      <c r="AR1" s="70" t="s">
        <v>370</v>
      </c>
      <c r="AS1" s="70" t="s">
        <v>710</v>
      </c>
      <c r="AT1" s="70" t="s">
        <v>711</v>
      </c>
      <c r="AU1" s="70" t="s">
        <v>712</v>
      </c>
      <c r="AV1" s="70" t="s">
        <v>713</v>
      </c>
      <c r="AW1" s="70" t="s">
        <v>714</v>
      </c>
      <c r="AX1" s="70" t="s">
        <v>715</v>
      </c>
      <c r="AY1" s="70" t="s">
        <v>716</v>
      </c>
      <c r="AZ1" s="70" t="s">
        <v>377</v>
      </c>
      <c r="BA1" s="70" t="s">
        <v>378</v>
      </c>
      <c r="BB1" s="70" t="s">
        <v>717</v>
      </c>
      <c r="BC1" s="70" t="s">
        <v>718</v>
      </c>
      <c r="BD1" s="70" t="s">
        <v>409</v>
      </c>
      <c r="BE1" s="70" t="s">
        <v>410</v>
      </c>
      <c r="BF1" s="70" t="s">
        <v>411</v>
      </c>
      <c r="BG1" s="70" t="s">
        <v>719</v>
      </c>
      <c r="BH1" s="70" t="s">
        <v>720</v>
      </c>
      <c r="BI1" s="70" t="s">
        <v>721</v>
      </c>
      <c r="BJ1" s="70" t="s">
        <v>722</v>
      </c>
      <c r="BK1" s="70" t="s">
        <v>723</v>
      </c>
      <c r="BL1" s="70" t="s">
        <v>724</v>
      </c>
      <c r="BM1" s="70" t="s">
        <v>725</v>
      </c>
      <c r="BN1" s="70" t="s">
        <v>418</v>
      </c>
      <c r="BO1" s="70" t="s">
        <v>419</v>
      </c>
      <c r="BP1" s="70" t="s">
        <v>726</v>
      </c>
      <c r="BQ1" s="70" t="s">
        <v>727</v>
      </c>
      <c r="BR1" s="70" t="s">
        <v>450</v>
      </c>
      <c r="BS1" s="70" t="s">
        <v>451</v>
      </c>
      <c r="BT1" s="70" t="s">
        <v>452</v>
      </c>
      <c r="BU1" s="70" t="s">
        <v>728</v>
      </c>
      <c r="BV1" s="70" t="s">
        <v>729</v>
      </c>
      <c r="BW1" s="70" t="s">
        <v>730</v>
      </c>
      <c r="BX1" s="70" t="s">
        <v>731</v>
      </c>
      <c r="BY1" s="70" t="s">
        <v>732</v>
      </c>
      <c r="BZ1" s="70" t="s">
        <v>733</v>
      </c>
      <c r="CA1" s="70" t="s">
        <v>734</v>
      </c>
      <c r="CB1" s="70" t="s">
        <v>459</v>
      </c>
      <c r="CC1" s="70" t="s">
        <v>460</v>
      </c>
      <c r="CD1" s="70" t="s">
        <v>735</v>
      </c>
      <c r="CE1" s="70" t="s">
        <v>736</v>
      </c>
      <c r="CF1" s="70" t="s">
        <v>491</v>
      </c>
      <c r="CG1" s="70" t="s">
        <v>492</v>
      </c>
      <c r="CH1" s="70" t="s">
        <v>493</v>
      </c>
      <c r="CI1" s="70" t="s">
        <v>737</v>
      </c>
      <c r="CJ1" s="70" t="s">
        <v>738</v>
      </c>
      <c r="CK1" s="70" t="s">
        <v>739</v>
      </c>
      <c r="CL1" s="70" t="s">
        <v>740</v>
      </c>
      <c r="CM1" s="70" t="s">
        <v>741</v>
      </c>
      <c r="CN1" s="70" t="s">
        <v>742</v>
      </c>
      <c r="CO1" s="70" t="s">
        <v>743</v>
      </c>
      <c r="CP1" s="70" t="s">
        <v>500</v>
      </c>
      <c r="CQ1" s="70" t="s">
        <v>501</v>
      </c>
      <c r="CR1" s="70" t="s">
        <v>744</v>
      </c>
      <c r="CS1" s="70" t="s">
        <v>745</v>
      </c>
      <c r="CT1" s="70" t="s">
        <v>532</v>
      </c>
      <c r="CU1" s="70" t="s">
        <v>533</v>
      </c>
      <c r="CV1" s="70" t="s">
        <v>534</v>
      </c>
      <c r="CW1" s="70" t="s">
        <v>746</v>
      </c>
      <c r="CX1" s="70" t="s">
        <v>747</v>
      </c>
      <c r="CY1" s="70" t="s">
        <v>748</v>
      </c>
      <c r="CZ1" s="70" t="s">
        <v>749</v>
      </c>
      <c r="DA1" s="70" t="s">
        <v>750</v>
      </c>
      <c r="DB1" s="70" t="s">
        <v>751</v>
      </c>
      <c r="DC1" s="70" t="s">
        <v>752</v>
      </c>
      <c r="DD1" s="70" t="s">
        <v>541</v>
      </c>
      <c r="DE1" s="70" t="s">
        <v>542</v>
      </c>
      <c r="DF1" s="70" t="s">
        <v>753</v>
      </c>
      <c r="DG1" s="70" t="s">
        <v>754</v>
      </c>
      <c r="DH1" s="70" t="s">
        <v>573</v>
      </c>
      <c r="DI1" s="70" t="s">
        <v>574</v>
      </c>
      <c r="DJ1" s="70" t="s">
        <v>575</v>
      </c>
      <c r="DK1" s="70" t="s">
        <v>755</v>
      </c>
      <c r="DL1" s="70" t="s">
        <v>756</v>
      </c>
      <c r="DM1" s="70" t="s">
        <v>757</v>
      </c>
      <c r="DN1" s="70" t="s">
        <v>758</v>
      </c>
      <c r="DO1" s="70" t="s">
        <v>759</v>
      </c>
      <c r="DP1" s="70" t="s">
        <v>760</v>
      </c>
      <c r="DQ1" s="70" t="s">
        <v>761</v>
      </c>
      <c r="DR1" s="70" t="s">
        <v>582</v>
      </c>
      <c r="DS1" s="70" t="s">
        <v>583</v>
      </c>
      <c r="DT1" s="70" t="s">
        <v>762</v>
      </c>
      <c r="DU1" s="70" t="s">
        <v>763</v>
      </c>
      <c r="DV1" s="70" t="s">
        <v>614</v>
      </c>
      <c r="DW1" s="70" t="s">
        <v>615</v>
      </c>
      <c r="DX1" s="70" t="s">
        <v>616</v>
      </c>
      <c r="DY1" s="70" t="s">
        <v>764</v>
      </c>
      <c r="DZ1" s="70" t="s">
        <v>765</v>
      </c>
      <c r="EA1" s="70" t="s">
        <v>766</v>
      </c>
      <c r="EB1" s="70" t="s">
        <v>767</v>
      </c>
      <c r="EC1" s="70" t="s">
        <v>768</v>
      </c>
      <c r="ED1" s="70" t="s">
        <v>769</v>
      </c>
      <c r="EE1" s="70" t="s">
        <v>770</v>
      </c>
      <c r="EF1" s="70" t="s">
        <v>623</v>
      </c>
      <c r="EG1" s="70" t="s">
        <v>624</v>
      </c>
      <c r="EH1" s="70" t="s">
        <v>771</v>
      </c>
      <c r="EI1" s="70" t="s">
        <v>772</v>
      </c>
      <c r="EJ1" s="70" t="s">
        <v>655</v>
      </c>
      <c r="EK1" s="70" t="s">
        <v>656</v>
      </c>
      <c r="EL1" s="70" t="s">
        <v>657</v>
      </c>
      <c r="EM1" s="70" t="s">
        <v>773</v>
      </c>
      <c r="EN1" s="70" t="s">
        <v>774</v>
      </c>
      <c r="EO1" s="70" t="s">
        <v>775</v>
      </c>
      <c r="EP1" s="70" t="s">
        <v>776</v>
      </c>
      <c r="EQ1" s="70" t="s">
        <v>777</v>
      </c>
      <c r="ER1" s="70" t="s">
        <v>778</v>
      </c>
      <c r="ES1" s="70" t="s">
        <v>779</v>
      </c>
      <c r="ET1" s="5" t="s">
        <v>780</v>
      </c>
      <c r="EU1" s="5" t="s">
        <v>781</v>
      </c>
      <c r="EV1" s="5" t="s">
        <v>782</v>
      </c>
      <c r="EW1" s="70" t="s">
        <v>783</v>
      </c>
      <c r="EX1" s="70" t="s">
        <v>784</v>
      </c>
      <c r="EY1" s="70" t="s">
        <v>785</v>
      </c>
      <c r="EZ1" s="70" t="s">
        <v>786</v>
      </c>
      <c r="FA1" s="70" t="s">
        <v>787</v>
      </c>
      <c r="FB1" s="5" t="s">
        <v>788</v>
      </c>
      <c r="FC1" s="70" t="s">
        <v>789</v>
      </c>
      <c r="FD1" s="70" t="s">
        <v>790</v>
      </c>
      <c r="FE1" s="70" t="s">
        <v>791</v>
      </c>
      <c r="FF1" s="70" t="s">
        <v>792</v>
      </c>
      <c r="FG1" s="70" t="s">
        <v>793</v>
      </c>
      <c r="FH1" s="70" t="s">
        <v>794</v>
      </c>
      <c r="FI1" s="70" t="s">
        <v>795</v>
      </c>
      <c r="FJ1" s="70" t="s">
        <v>796</v>
      </c>
      <c r="FK1" s="70" t="s">
        <v>797</v>
      </c>
      <c r="FL1" s="70" t="s">
        <v>798</v>
      </c>
      <c r="FM1" s="70" t="s">
        <v>799</v>
      </c>
      <c r="FN1" s="70" t="s">
        <v>800</v>
      </c>
      <c r="FO1" s="70" t="s">
        <v>801</v>
      </c>
      <c r="FP1" s="70" t="s">
        <v>802</v>
      </c>
      <c r="FQ1" s="70" t="s">
        <v>803</v>
      </c>
      <c r="FR1" s="70" t="s">
        <v>804</v>
      </c>
      <c r="FS1" s="70" t="s">
        <v>805</v>
      </c>
      <c r="FT1" s="70" t="s">
        <v>806</v>
      </c>
      <c r="FU1" s="70" t="s">
        <v>807</v>
      </c>
      <c r="FV1" s="70" t="s">
        <v>808</v>
      </c>
      <c r="FW1" s="70" t="s">
        <v>809</v>
      </c>
      <c r="FX1" s="70" t="s">
        <v>810</v>
      </c>
      <c r="FY1" s="70" t="s">
        <v>811</v>
      </c>
      <c r="FZ1" s="70" t="s">
        <v>812</v>
      </c>
      <c r="GA1" s="70" t="s">
        <v>813</v>
      </c>
      <c r="GB1" s="70" t="s">
        <v>814</v>
      </c>
      <c r="GC1" s="70" t="s">
        <v>815</v>
      </c>
      <c r="GD1" s="70" t="s">
        <v>816</v>
      </c>
      <c r="GE1" s="70" t="s">
        <v>817</v>
      </c>
      <c r="GF1" s="70" t="s">
        <v>818</v>
      </c>
      <c r="GG1" s="70" t="s">
        <v>819</v>
      </c>
      <c r="GH1" s="70" t="s">
        <v>820</v>
      </c>
      <c r="GI1" s="70" t="s">
        <v>821</v>
      </c>
      <c r="GJ1" s="70" t="s">
        <v>822</v>
      </c>
      <c r="GK1" s="70" t="s">
        <v>823</v>
      </c>
      <c r="GL1" s="70" t="s">
        <v>824</v>
      </c>
      <c r="GM1" s="70" t="s">
        <v>825</v>
      </c>
      <c r="GN1" s="70" t="s">
        <v>826</v>
      </c>
      <c r="GO1" s="70" t="s">
        <v>827</v>
      </c>
      <c r="GP1" s="70" t="s">
        <v>828</v>
      </c>
      <c r="GQ1" s="70" t="s">
        <v>829</v>
      </c>
      <c r="GR1" s="70" t="s">
        <v>830</v>
      </c>
      <c r="GS1" s="70" t="s">
        <v>831</v>
      </c>
      <c r="GT1" s="70" t="s">
        <v>832</v>
      </c>
      <c r="GU1" s="70" t="s">
        <v>833</v>
      </c>
      <c r="GV1" s="70" t="s">
        <v>834</v>
      </c>
      <c r="GW1" s="70" t="s">
        <v>835</v>
      </c>
      <c r="GX1" s="70" t="s">
        <v>836</v>
      </c>
      <c r="GY1" s="70" t="s">
        <v>837</v>
      </c>
      <c r="GZ1" s="70" t="s">
        <v>838</v>
      </c>
      <c r="HA1" s="70" t="s">
        <v>839</v>
      </c>
      <c r="HB1" s="70" t="s">
        <v>840</v>
      </c>
    </row>
    <row r="2" spans="1:210" ht="12.75" customHeight="1">
      <c r="A2" s="78" t="str">
        <f>County</f>
        <v>San Francisco</v>
      </c>
      <c r="B2" s="72">
        <f>coord1</f>
        <v>0</v>
      </c>
      <c r="C2" s="72">
        <f>coord2</f>
        <v>0</v>
      </c>
      <c r="D2" s="72">
        <f>strategy</f>
        <v>0</v>
      </c>
      <c r="E2" s="72">
        <f>stratnar</f>
        <v>0</v>
      </c>
      <c r="F2" s="72">
        <f>stratdf</f>
        <v>0</v>
      </c>
      <c r="G2" s="72">
        <f>stratplan</f>
        <v>0</v>
      </c>
      <c r="H2" s="72">
        <f>coordnar</f>
        <v>0</v>
      </c>
      <c r="I2" s="70">
        <f>regional</f>
        <v>0</v>
      </c>
      <c r="J2" s="70" t="e">
        <f>Numecodet1</f>
        <v>#REF!</v>
      </c>
      <c r="K2" s="70" t="e">
        <f>Numealtt1</f>
        <v>#REF!</v>
      </c>
      <c r="L2" s="70" t="e">
        <f>JJCPAt1</f>
        <v>#REF!</v>
      </c>
      <c r="M2" s="70" t="e">
        <f>Othert1</f>
        <v>#REF!</v>
      </c>
      <c r="N2" s="72" t="e">
        <f>t1casecount</f>
        <v>#REF!</v>
      </c>
      <c r="O2" s="75" t="e">
        <f>t1yobgpercap</f>
        <v>#REF!</v>
      </c>
      <c r="P2" s="75" t="e">
        <f>t1totpercap</f>
        <v>#REF!</v>
      </c>
      <c r="Q2" s="70" t="e">
        <f>t1nar</f>
        <v>#REF!</v>
      </c>
      <c r="R2" s="70" t="e">
        <f>t1goal</f>
        <v>#REF!</v>
      </c>
      <c r="S2" s="70" t="e">
        <f>t1barrier</f>
        <v>#REF!</v>
      </c>
      <c r="T2" s="70" t="e">
        <f>t1funds</f>
        <v>#REF!</v>
      </c>
      <c r="U2" s="70">
        <f>t1other1</f>
        <v>0</v>
      </c>
      <c r="V2" s="70">
        <f>t1other2</f>
        <v>0</v>
      </c>
      <c r="W2" s="70">
        <f>t1other3</f>
        <v>0</v>
      </c>
      <c r="X2" s="70" t="e">
        <f>Numecodet2</f>
        <v>#REF!</v>
      </c>
      <c r="Y2" s="70" t="e">
        <f>Numealtt2</f>
        <v>#REF!</v>
      </c>
      <c r="Z2" s="70" t="e">
        <f>JJCPAt2</f>
        <v>#REF!</v>
      </c>
      <c r="AA2" s="70" t="e">
        <f>Othert2</f>
        <v>#REF!</v>
      </c>
      <c r="AB2" s="72" t="e">
        <f>t2casecount</f>
        <v>#REF!</v>
      </c>
      <c r="AC2" s="75" t="e">
        <f>t2yobgpercap</f>
        <v>#REF!</v>
      </c>
      <c r="AD2" s="75" t="e">
        <f>t2totpercap</f>
        <v>#REF!</v>
      </c>
      <c r="AE2" s="70" t="e">
        <f>t2nar</f>
        <v>#REF!</v>
      </c>
      <c r="AF2" s="70" t="e">
        <f>t2goal</f>
        <v>#REF!</v>
      </c>
      <c r="AG2" s="70" t="e">
        <f>t2barrier</f>
        <v>#REF!</v>
      </c>
      <c r="AH2" s="70" t="e">
        <f>t2funds</f>
        <v>#REF!</v>
      </c>
      <c r="AI2" s="70" t="e">
        <f>t2other1</f>
        <v>#REF!</v>
      </c>
      <c r="AJ2" s="70" t="e">
        <f>t2other2</f>
        <v>#REF!</v>
      </c>
      <c r="AK2" s="70" t="e">
        <f>t2other3</f>
        <v>#REF!</v>
      </c>
      <c r="AL2" s="70" t="e">
        <f>Numecodet3</f>
        <v>#REF!</v>
      </c>
      <c r="AM2" s="70" t="e">
        <f>Numealtt3</f>
        <v>#REF!</v>
      </c>
      <c r="AN2" s="70" t="e">
        <f>JJCPAt3</f>
        <v>#REF!</v>
      </c>
      <c r="AO2" s="70" t="e">
        <f>Othert3</f>
        <v>#REF!</v>
      </c>
      <c r="AP2" s="72" t="e">
        <f>t3casecount</f>
        <v>#REF!</v>
      </c>
      <c r="AQ2" s="75" t="e">
        <f>t3yobgpercap</f>
        <v>#REF!</v>
      </c>
      <c r="AR2" s="75" t="e">
        <f>t3totpercap</f>
        <v>#REF!</v>
      </c>
      <c r="AS2" s="70" t="e">
        <f>t3nar</f>
        <v>#REF!</v>
      </c>
      <c r="AT2" s="70" t="e">
        <f>t3goal</f>
        <v>#REF!</v>
      </c>
      <c r="AU2" s="70" t="e">
        <f>t3barrier</f>
        <v>#REF!</v>
      </c>
      <c r="AV2" s="70" t="e">
        <f>t3funds</f>
        <v>#REF!</v>
      </c>
      <c r="AW2" s="70" t="e">
        <f>t3other1</f>
        <v>#REF!</v>
      </c>
      <c r="AX2" s="70" t="e">
        <f>t3other2</f>
        <v>#REF!</v>
      </c>
      <c r="AY2" s="70" t="e">
        <f>t3other3</f>
        <v>#REF!</v>
      </c>
      <c r="AZ2" s="70" t="e">
        <f>Numecodet4</f>
        <v>#REF!</v>
      </c>
      <c r="BA2" s="70" t="e">
        <f>Numealtt4</f>
        <v>#REF!</v>
      </c>
      <c r="BB2" s="70" t="e">
        <f>JJCPAt4</f>
        <v>#REF!</v>
      </c>
      <c r="BC2" s="70" t="e">
        <f>Othert4</f>
        <v>#REF!</v>
      </c>
      <c r="BD2" s="72" t="e">
        <f>t4casecount</f>
        <v>#REF!</v>
      </c>
      <c r="BE2" s="75" t="e">
        <f>t4yobgpercap</f>
        <v>#REF!</v>
      </c>
      <c r="BF2" s="75" t="e">
        <f>t4totpercap</f>
        <v>#REF!</v>
      </c>
      <c r="BG2" s="70" t="e">
        <f>t4nar</f>
        <v>#REF!</v>
      </c>
      <c r="BH2" s="70" t="e">
        <f>t4goal</f>
        <v>#REF!</v>
      </c>
      <c r="BI2" s="70" t="e">
        <f>t4barrier</f>
        <v>#REF!</v>
      </c>
      <c r="BJ2" s="70" t="e">
        <f>t4funds</f>
        <v>#REF!</v>
      </c>
      <c r="BK2" s="70" t="e">
        <f>t4other1</f>
        <v>#REF!</v>
      </c>
      <c r="BL2" s="70" t="e">
        <f>t4other2</f>
        <v>#REF!</v>
      </c>
      <c r="BM2" s="70" t="e">
        <f>t4other3</f>
        <v>#REF!</v>
      </c>
      <c r="BN2" s="70" t="e">
        <f>Numecodet5</f>
        <v>#REF!</v>
      </c>
      <c r="BO2" s="70" t="e">
        <f>Numealtt5</f>
        <v>#REF!</v>
      </c>
      <c r="BP2" s="70" t="e">
        <f>JJCPAt5</f>
        <v>#REF!</v>
      </c>
      <c r="BQ2" s="70" t="e">
        <f>Othert5</f>
        <v>#REF!</v>
      </c>
      <c r="BR2" s="72" t="e">
        <f>t5casecount</f>
        <v>#REF!</v>
      </c>
      <c r="BS2" s="75" t="e">
        <f>t5yobgpercap</f>
        <v>#REF!</v>
      </c>
      <c r="BT2" s="75" t="e">
        <f>t5totpercap</f>
        <v>#REF!</v>
      </c>
      <c r="BU2" s="70" t="e">
        <f>t5nar</f>
        <v>#REF!</v>
      </c>
      <c r="BV2" s="70" t="e">
        <f>t5goal</f>
        <v>#REF!</v>
      </c>
      <c r="BW2" s="70" t="e">
        <f>t5barrier</f>
        <v>#REF!</v>
      </c>
      <c r="BX2" s="70" t="e">
        <f>t5funds</f>
        <v>#REF!</v>
      </c>
      <c r="BY2" s="70" t="e">
        <f>t5other1</f>
        <v>#REF!</v>
      </c>
      <c r="BZ2" s="70" t="e">
        <f>t5other2</f>
        <v>#REF!</v>
      </c>
      <c r="CA2" s="70" t="e">
        <f>t5other3</f>
        <v>#REF!</v>
      </c>
      <c r="CB2" s="70" t="e">
        <f>Numecodet6</f>
        <v>#REF!</v>
      </c>
      <c r="CC2" s="70" t="e">
        <f>Numealtt6</f>
        <v>#REF!</v>
      </c>
      <c r="CD2" s="70" t="e">
        <f>JJCPAt6</f>
        <v>#REF!</v>
      </c>
      <c r="CE2" s="70" t="e">
        <f>Othert6</f>
        <v>#REF!</v>
      </c>
      <c r="CF2" s="72" t="e">
        <f>t6casecount</f>
        <v>#REF!</v>
      </c>
      <c r="CG2" s="75" t="e">
        <f>t6yobgpercap</f>
        <v>#REF!</v>
      </c>
      <c r="CH2" s="75" t="e">
        <f>t6totpercap</f>
        <v>#REF!</v>
      </c>
      <c r="CI2" s="70" t="e">
        <f>t6nar</f>
        <v>#REF!</v>
      </c>
      <c r="CJ2" s="70" t="e">
        <f>t6goal</f>
        <v>#REF!</v>
      </c>
      <c r="CK2" s="70" t="e">
        <f>t6barrier</f>
        <v>#REF!</v>
      </c>
      <c r="CL2" s="70" t="e">
        <f>t6funds</f>
        <v>#REF!</v>
      </c>
      <c r="CM2" s="70" t="e">
        <f>t6other1</f>
        <v>#REF!</v>
      </c>
      <c r="CN2" s="70" t="e">
        <f>t6other2</f>
        <v>#REF!</v>
      </c>
      <c r="CO2" s="70" t="e">
        <f>t6other3</f>
        <v>#REF!</v>
      </c>
      <c r="CP2" s="70" t="e">
        <f>Numecodet7</f>
        <v>#REF!</v>
      </c>
      <c r="CQ2" s="70" t="e">
        <f>Numealtt7</f>
        <v>#REF!</v>
      </c>
      <c r="CR2" s="70" t="e">
        <f>JJCPAt7</f>
        <v>#REF!</v>
      </c>
      <c r="CS2" s="70" t="e">
        <f>Othert7</f>
        <v>#REF!</v>
      </c>
      <c r="CT2" s="72" t="e">
        <f>t7casecount</f>
        <v>#REF!</v>
      </c>
      <c r="CU2" s="75" t="e">
        <f>t7yobgpercap</f>
        <v>#REF!</v>
      </c>
      <c r="CV2" s="75" t="e">
        <f>t7totpercap</f>
        <v>#REF!</v>
      </c>
      <c r="CW2" s="70" t="e">
        <f>t7nar</f>
        <v>#REF!</v>
      </c>
      <c r="CX2" s="70" t="e">
        <f>t7goal</f>
        <v>#REF!</v>
      </c>
      <c r="CY2" s="70" t="e">
        <f>t7barrier</f>
        <v>#REF!</v>
      </c>
      <c r="CZ2" s="70" t="e">
        <f>t7funds</f>
        <v>#REF!</v>
      </c>
      <c r="DA2" s="70" t="e">
        <f>t7other1</f>
        <v>#REF!</v>
      </c>
      <c r="DB2" s="70" t="e">
        <f>t7other2</f>
        <v>#REF!</v>
      </c>
      <c r="DC2" s="70" t="e">
        <f>t7other3</f>
        <v>#REF!</v>
      </c>
      <c r="DD2" s="70" t="e">
        <f>Numecodet8</f>
        <v>#REF!</v>
      </c>
      <c r="DE2" s="70" t="e">
        <f>Numealtt8</f>
        <v>#REF!</v>
      </c>
      <c r="DF2" s="70" t="e">
        <f>JJCPAt8</f>
        <v>#REF!</v>
      </c>
      <c r="DG2" s="70" t="e">
        <f>Othert8</f>
        <v>#REF!</v>
      </c>
      <c r="DH2" s="72" t="e">
        <f>t8casecount</f>
        <v>#REF!</v>
      </c>
      <c r="DI2" s="75" t="e">
        <f>t8yobgpercap</f>
        <v>#REF!</v>
      </c>
      <c r="DJ2" s="75" t="e">
        <f>t8totpercap</f>
        <v>#REF!</v>
      </c>
      <c r="DK2" s="70" t="e">
        <f>t8nar</f>
        <v>#REF!</v>
      </c>
      <c r="DL2" s="70" t="e">
        <f>t8goal</f>
        <v>#REF!</v>
      </c>
      <c r="DM2" s="70" t="e">
        <f>t8barrier</f>
        <v>#REF!</v>
      </c>
      <c r="DN2" s="70" t="e">
        <f>t8funds</f>
        <v>#REF!</v>
      </c>
      <c r="DO2" s="70" t="e">
        <f>t8other1</f>
        <v>#REF!</v>
      </c>
      <c r="DP2" s="70" t="e">
        <f>t8other2</f>
        <v>#REF!</v>
      </c>
      <c r="DQ2" s="70" t="e">
        <f>t8other3</f>
        <v>#REF!</v>
      </c>
      <c r="DR2" s="70" t="e">
        <f>Numecodet9</f>
        <v>#REF!</v>
      </c>
      <c r="DS2" s="70" t="e">
        <f>Numealtt9</f>
        <v>#REF!</v>
      </c>
      <c r="DT2" s="70" t="e">
        <f>JJCPAt9</f>
        <v>#REF!</v>
      </c>
      <c r="DU2" s="70" t="e">
        <f>Othert9</f>
        <v>#REF!</v>
      </c>
      <c r="DV2" s="72" t="e">
        <f>t9casecount</f>
        <v>#REF!</v>
      </c>
      <c r="DW2" s="75" t="e">
        <f>t9yobgpercap</f>
        <v>#REF!</v>
      </c>
      <c r="DX2" s="75" t="e">
        <f>t9totpercap</f>
        <v>#REF!</v>
      </c>
      <c r="DY2" s="70" t="e">
        <f>t9nar</f>
        <v>#REF!</v>
      </c>
      <c r="DZ2" s="70" t="e">
        <f>t9goal</f>
        <v>#REF!</v>
      </c>
      <c r="EA2" s="70" t="e">
        <f>t9barrier</f>
        <v>#REF!</v>
      </c>
      <c r="EB2" s="70" t="e">
        <f>t9funds</f>
        <v>#REF!</v>
      </c>
      <c r="EC2" s="70" t="e">
        <f>t9other1</f>
        <v>#REF!</v>
      </c>
      <c r="ED2" s="70" t="e">
        <f>t9other2</f>
        <v>#REF!</v>
      </c>
      <c r="EE2" s="70" t="e">
        <f>t9other3</f>
        <v>#REF!</v>
      </c>
      <c r="EF2" s="70" t="e">
        <f>Numecodet10</f>
        <v>#REF!</v>
      </c>
      <c r="EG2" s="70" t="e">
        <f>Numealtt10</f>
        <v>#REF!</v>
      </c>
      <c r="EH2" s="70" t="e">
        <f>JJCPAt10</f>
        <v>#REF!</v>
      </c>
      <c r="EI2" s="70" t="e">
        <f>Othert10</f>
        <v>#REF!</v>
      </c>
      <c r="EJ2" s="72" t="e">
        <f>t10casecount</f>
        <v>#REF!</v>
      </c>
      <c r="EK2" s="75" t="e">
        <f>t10yobgpercap</f>
        <v>#REF!</v>
      </c>
      <c r="EL2" s="75" t="e">
        <f>t10totpercap</f>
        <v>#REF!</v>
      </c>
      <c r="EM2" s="70" t="e">
        <f>t10nar</f>
        <v>#REF!</v>
      </c>
      <c r="EN2" s="70" t="e">
        <f>t10goal</f>
        <v>#REF!</v>
      </c>
      <c r="EO2" s="70" t="e">
        <f>t10barrier</f>
        <v>#REF!</v>
      </c>
      <c r="EP2" s="70" t="e">
        <f>t10funds</f>
        <v>#REF!</v>
      </c>
      <c r="EQ2" s="70" t="e">
        <f>t10other1</f>
        <v>#REF!</v>
      </c>
      <c r="ER2" s="70" t="e">
        <f>t10other2</f>
        <v>#REF!</v>
      </c>
      <c r="ES2" s="70" t="e">
        <f>t10other3</f>
        <v>#REF!</v>
      </c>
      <c r="ET2" s="74" t="e">
        <f>totyobgexp</f>
        <v>#REF!</v>
      </c>
      <c r="EU2" s="74" t="e">
        <f>fy1314all</f>
        <v>#REF!</v>
      </c>
      <c r="EV2" s="74" t="e">
        <f>fy1213all</f>
        <v>#REF!</v>
      </c>
      <c r="EW2" s="74" t="e">
        <f>fy1112all</f>
        <v>#REF!</v>
      </c>
      <c r="EX2" s="74" t="e">
        <f>fy1011all</f>
        <v>#REF!</v>
      </c>
      <c r="EY2" s="74" t="e">
        <f>fy0910all</f>
        <v>#REF!</v>
      </c>
      <c r="EZ2" s="74" t="e">
        <f>fy0809all</f>
        <v>#REF!</v>
      </c>
      <c r="FA2" s="74" t="e">
        <f>fy0708all</f>
        <v>#REF!</v>
      </c>
      <c r="FB2" s="74" t="e">
        <f>totforall</f>
        <v>#REF!</v>
      </c>
      <c r="FC2" s="74" t="e">
        <f>discrep</f>
        <v>#REF!</v>
      </c>
      <c r="FD2" s="70" t="e">
        <f>discexpl</f>
        <v>#REF!</v>
      </c>
      <c r="FE2" s="70" t="e">
        <f>Numecodet1</f>
        <v>#REF!</v>
      </c>
      <c r="FF2" s="70" t="e">
        <f>JJCPAt1</f>
        <v>#REF!</v>
      </c>
      <c r="FG2" s="74">
        <f>t1jjcpatot</f>
        <v>1828008.2050000001</v>
      </c>
      <c r="FH2" s="70" t="e">
        <f>Othert1</f>
        <v>#REF!</v>
      </c>
      <c r="FI2" s="74">
        <f>t1othertot</f>
        <v>0</v>
      </c>
      <c r="FJ2" s="70" t="e">
        <f>Numecodet2</f>
        <v>#REF!</v>
      </c>
      <c r="FK2" s="70" t="e">
        <f>JJCPAt2</f>
        <v>#REF!</v>
      </c>
      <c r="FL2" s="74" t="e">
        <f>t2jjcpatot</f>
        <v>#REF!</v>
      </c>
      <c r="FM2" s="70" t="e">
        <f>Othert2</f>
        <v>#REF!</v>
      </c>
      <c r="FN2" s="74" t="e">
        <f>t2othertot</f>
        <v>#REF!</v>
      </c>
      <c r="FO2" s="70" t="e">
        <f>Numecodet3</f>
        <v>#REF!</v>
      </c>
      <c r="FP2" s="70" t="e">
        <f>JJCPAt3</f>
        <v>#REF!</v>
      </c>
      <c r="FQ2" s="74" t="e">
        <f>t3jjcpatot</f>
        <v>#REF!</v>
      </c>
      <c r="FR2" s="70" t="e">
        <f>Othert3</f>
        <v>#REF!</v>
      </c>
      <c r="FS2" s="74" t="e">
        <f>t3othertot</f>
        <v>#REF!</v>
      </c>
      <c r="FT2" s="70" t="e">
        <f>Numecodet4</f>
        <v>#REF!</v>
      </c>
      <c r="FU2" s="70" t="e">
        <f>JJCPAt4</f>
        <v>#REF!</v>
      </c>
      <c r="FV2" s="74" t="e">
        <f>t4jjcpatot</f>
        <v>#REF!</v>
      </c>
      <c r="FW2" s="70" t="e">
        <f>Othert4</f>
        <v>#REF!</v>
      </c>
      <c r="FX2" s="74" t="e">
        <f>t4othertot</f>
        <v>#REF!</v>
      </c>
      <c r="FY2" s="70" t="e">
        <f>Numecodet5</f>
        <v>#REF!</v>
      </c>
      <c r="FZ2" s="70" t="e">
        <f>JJCPAt5</f>
        <v>#REF!</v>
      </c>
      <c r="GA2" s="74" t="e">
        <f>t5jjcpatot</f>
        <v>#REF!</v>
      </c>
      <c r="GB2" s="70" t="e">
        <f>Othert5</f>
        <v>#REF!</v>
      </c>
      <c r="GC2" s="74" t="e">
        <f>t5othertot</f>
        <v>#REF!</v>
      </c>
      <c r="GD2" s="70" t="e">
        <f>Numecodet6</f>
        <v>#REF!</v>
      </c>
      <c r="GE2" s="70" t="e">
        <f>JJCPAt6</f>
        <v>#REF!</v>
      </c>
      <c r="GF2" s="74" t="e">
        <f>t6jjcpatot</f>
        <v>#REF!</v>
      </c>
      <c r="GG2" s="70" t="e">
        <f>Othert6</f>
        <v>#REF!</v>
      </c>
      <c r="GH2" s="74" t="e">
        <f>t6othertot</f>
        <v>#REF!</v>
      </c>
      <c r="GI2" s="70" t="e">
        <f>Numecodet7</f>
        <v>#REF!</v>
      </c>
      <c r="GJ2" s="70" t="e">
        <f>JJCPAt7</f>
        <v>#REF!</v>
      </c>
      <c r="GK2" s="74" t="e">
        <f>t7jjcpatot</f>
        <v>#REF!</v>
      </c>
      <c r="GL2" s="70" t="e">
        <f>Othert7</f>
        <v>#REF!</v>
      </c>
      <c r="GM2" s="74" t="e">
        <f>t7othertot</f>
        <v>#REF!</v>
      </c>
      <c r="GN2" s="70" t="e">
        <f>Numecodet8</f>
        <v>#REF!</v>
      </c>
      <c r="GO2" s="70" t="e">
        <f>JJCPAt8</f>
        <v>#REF!</v>
      </c>
      <c r="GP2" s="74" t="e">
        <f>t8jjcpatot</f>
        <v>#REF!</v>
      </c>
      <c r="GQ2" s="70" t="e">
        <f>Othert8</f>
        <v>#REF!</v>
      </c>
      <c r="GR2" s="74" t="e">
        <f>t8othertot</f>
        <v>#REF!</v>
      </c>
      <c r="GS2" s="70" t="e">
        <f>Numecodet9</f>
        <v>#REF!</v>
      </c>
      <c r="GT2" s="70" t="e">
        <f>JJCPAt9</f>
        <v>#REF!</v>
      </c>
      <c r="GU2" s="74" t="e">
        <f>t9jjcpatot</f>
        <v>#REF!</v>
      </c>
      <c r="GV2" s="70" t="e">
        <f>Othert9</f>
        <v>#REF!</v>
      </c>
      <c r="GW2" s="74" t="e">
        <f>t9othertot</f>
        <v>#REF!</v>
      </c>
      <c r="GX2" s="70" t="e">
        <f>Numcodet10</f>
        <v>#REF!</v>
      </c>
      <c r="GY2" s="70" t="e">
        <f>JJCPAt10</f>
        <v>#REF!</v>
      </c>
      <c r="GZ2" s="74" t="e">
        <f>t10jjcpatot</f>
        <v>#REF!</v>
      </c>
      <c r="HA2" s="70" t="e">
        <f>Othert10</f>
        <v>#REF!</v>
      </c>
      <c r="HB2" s="74"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69EC-915C-489F-80E1-63D57DEA5CDF}">
  <ds:schemaRefs>
    <ds:schemaRef ds:uri="http://purl.org/dc/dcmitype/"/>
    <ds:schemaRef ds:uri="6320e372-7175-42ae-bb6d-dd857cd9bdf5"/>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a34f6b50-a9f7-4204-89ac-e0f2c967f41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ADA99B73-8AF1-41A8-A242-A76F64BCC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116</vt:i4>
      </vt:variant>
    </vt:vector>
  </HeadingPairs>
  <TitlesOfParts>
    <vt:vector size="135" baseType="lpstr">
      <vt:lpstr>CONTACT INFORMATION</vt:lpstr>
      <vt:lpstr>REPORT 1</vt:lpstr>
      <vt:lpstr>REPORT 3</vt:lpstr>
      <vt:lpstr>ARREST REPORT</vt:lpstr>
      <vt:lpstr>TREND ANALYSIS</vt:lpstr>
      <vt:lpstr>EXPENDITURE DETAILS-YOBG</vt:lpstr>
      <vt:lpstr>Addl EXPENDITURE DETAILS-JJCPA</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'Addl EXPENDITURE DETAILS-JJCPA'!_Tot1</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'Addl EXPENDITURE DETAILS-JJCPA'!t1jjcpaadmin</vt:lpstr>
      <vt:lpstr>t1jjcpaadmin</vt:lpstr>
      <vt:lpstr>'Addl EXPENDITURE DETAILS-JJCPA'!t1jjcpacbo</vt:lpstr>
      <vt:lpstr>t1jjcpacbo</vt:lpstr>
      <vt:lpstr>'Addl EXPENDITURE DETAILS-JJCPA'!t1jjcpaequip</vt:lpstr>
      <vt:lpstr>t1jjcpaequip</vt:lpstr>
      <vt:lpstr>'Addl EXPENDITURE DETAILS-JJCPA'!t1jjcpaothr1</vt:lpstr>
      <vt:lpstr>t1jjcpaothr1</vt:lpstr>
      <vt:lpstr>'Addl EXPENDITURE DETAILS-JJCPA'!t1jjcpaothr2</vt:lpstr>
      <vt:lpstr>t1jjcpaothr2</vt:lpstr>
      <vt:lpstr>'Addl EXPENDITURE DETAILS-JJCPA'!t1jjcpaothr3</vt:lpstr>
      <vt:lpstr>t1jjcpaothr3</vt:lpstr>
      <vt:lpstr>'Addl EXPENDITURE DETAILS-JJCPA'!t1jjcpaprof</vt:lpstr>
      <vt:lpstr>t1jjcpaprof</vt:lpstr>
      <vt:lpstr>'Addl EXPENDITURE DETAILS-JJCPA'!t1jjcpasal</vt:lpstr>
      <vt:lpstr>t1jjcpasal</vt:lpstr>
      <vt:lpstr>'Addl EXPENDITURE DETAILS-JJCPA'!t1jjcpaserv</vt:lpstr>
      <vt:lpstr>t1jjcpaserv</vt:lpstr>
      <vt:lpstr>'Addl EXPENDITURE DETAILS-JJCPA'!t1jjcpatot</vt:lpstr>
      <vt:lpstr>t1jjcpatot</vt:lpstr>
      <vt:lpstr>'Addl EXPENDITURE DETAILS-JJCPA'!t1numcode</vt:lpstr>
      <vt:lpstr>t1numcode</vt:lpstr>
      <vt:lpstr>'Addl EXPENDITURE DETAILS-JJCPA'!t1other1</vt:lpstr>
      <vt:lpstr>t1other1</vt:lpstr>
      <vt:lpstr>'Addl EXPENDITURE DETAILS-JJCPA'!t1other2</vt:lpstr>
      <vt:lpstr>t1other2</vt:lpstr>
      <vt:lpstr>'Addl EXPENDITURE DETAILS-JJCPA'!t1other3</vt:lpstr>
      <vt:lpstr>t1other3</vt:lpstr>
      <vt:lpstr>'Addl EXPENDITURE DETAILS-JJCPA'!t1otheradmin</vt:lpstr>
      <vt:lpstr>t1otheradmin</vt:lpstr>
      <vt:lpstr>'Addl EXPENDITURE DETAILS-JJCPA'!t1othercbo</vt:lpstr>
      <vt:lpstr>t1othercbo</vt:lpstr>
      <vt:lpstr>'Addl EXPENDITURE DETAILS-JJCPA'!t1otherequip</vt:lpstr>
      <vt:lpstr>t1otherequip</vt:lpstr>
      <vt:lpstr>'Addl EXPENDITURE DETAILS-JJCPA'!t1otherothr1</vt:lpstr>
      <vt:lpstr>t1otherothr1</vt:lpstr>
      <vt:lpstr>'Addl EXPENDITURE DETAILS-JJCPA'!t1otherothr2</vt:lpstr>
      <vt:lpstr>t1otherothr2</vt:lpstr>
      <vt:lpstr>'Addl EXPENDITURE DETAILS-JJCPA'!t1otherothr3</vt:lpstr>
      <vt:lpstr>t1otherothr3</vt:lpstr>
      <vt:lpstr>'Addl EXPENDITURE DETAILS-JJCPA'!t1otherprof</vt:lpstr>
      <vt:lpstr>t1otherprof</vt:lpstr>
      <vt:lpstr>'Addl EXPENDITURE DETAILS-JJCPA'!t1othersal</vt:lpstr>
      <vt:lpstr>t1othersal</vt:lpstr>
      <vt:lpstr>'Addl EXPENDITURE DETAILS-JJCPA'!t1otherserv</vt:lpstr>
      <vt:lpstr>t1otherserv</vt:lpstr>
      <vt:lpstr>'Addl EXPENDITURE DETAILS-JJCPA'!t1othertot</vt:lpstr>
      <vt:lpstr>t1othertot</vt:lpstr>
      <vt:lpstr>'Addl EXPENDITURE DETAILS-JJCPA'!t1yobgadmin</vt:lpstr>
      <vt:lpstr>t1yobgadmin</vt:lpstr>
      <vt:lpstr>'Addl EXPENDITURE DETAILS-JJCPA'!t1yobgcbo</vt:lpstr>
      <vt:lpstr>t1yobgcbo</vt:lpstr>
      <vt:lpstr>'Addl EXPENDITURE DETAILS-JJCPA'!t1yobgequip</vt:lpstr>
      <vt:lpstr>t1yobgequip</vt:lpstr>
      <vt:lpstr>'Addl EXPENDITURE DETAILS-JJCPA'!t1yobgothr1</vt:lpstr>
      <vt:lpstr>t1yobgothr1</vt:lpstr>
      <vt:lpstr>'Addl EXPENDITURE DETAILS-JJCPA'!t1yobgothr2</vt:lpstr>
      <vt:lpstr>t1yobgothr2</vt:lpstr>
      <vt:lpstr>'Addl EXPENDITURE DETAILS-JJCPA'!t1yobgothr3</vt:lpstr>
      <vt:lpstr>t1yobgothr3</vt:lpstr>
      <vt:lpstr>'Addl EXPENDITURE DETAILS-JJCPA'!t1yobgprof</vt:lpstr>
      <vt:lpstr>t1yobgprof</vt:lpstr>
      <vt:lpstr>'Addl EXPENDITURE DETAILS-JJCPA'!t1yobgsal</vt:lpstr>
      <vt:lpstr>t1yobgsal</vt:lpstr>
      <vt:lpstr>'Addl EXPENDITURE DETAILS-JJCPA'!t1yobgserv</vt:lpstr>
      <vt:lpstr>t1yobgserv</vt:lpstr>
      <vt:lpstr>'Addl EXPENDITURE DETAILS-JJCPA'!t1yobgtot</vt:lpstr>
      <vt:lpstr>t1yobgtot</vt:lpstr>
      <vt:lpstr>YESNO</vt:lpstr>
      <vt:lpstr>YLSCMI</vt:lpstr>
      <vt:lpstr>Youthtype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jberner</dc:creator>
  <cp:keywords/>
  <dc:description/>
  <cp:lastModifiedBy>Richardson, Vincent@OYCR</cp:lastModifiedBy>
  <cp:revision/>
  <dcterms:created xsi:type="dcterms:W3CDTF">2010-06-09T19:05:00Z</dcterms:created>
  <dcterms:modified xsi:type="dcterms:W3CDTF">2024-11-09T21:18:07Z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