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PRB\JUVENILE DIVISION\JJCPA-YOBG Yearend Report\2023-2024 JJCPA-YOBG\"/>
    </mc:Choice>
  </mc:AlternateContent>
  <xr:revisionPtr revIDLastSave="0" documentId="13_ncr:1_{0B177F8D-717D-451B-87D9-6A4EC244F175}" xr6:coauthVersionLast="47" xr6:coauthVersionMax="47" xr10:uidLastSave="{00000000-0000-0000-0000-000000000000}"/>
  <bookViews>
    <workbookView xWindow="28680" yWindow="-120" windowWidth="29040" windowHeight="15840"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1. JUV HALL" sheetId="7" r:id="rId7"/>
    <sheet name="9. AFTER SCHOOL" sheetId="20" r:id="rId8"/>
    <sheet name="16. MONITORING" sheetId="21" r:id="rId9"/>
    <sheet name="23. INT PROB SUPV" sheetId="22" r:id="rId10"/>
    <sheet name="27. IND MH COUNSEL" sheetId="23" r:id="rId11"/>
    <sheet name="29. MENTORING" sheetId="24" r:id="rId12"/>
    <sheet name="30. MONETARY" sheetId="26" r:id="rId13"/>
    <sheet name="36. REST JUSTICE" sheetId="25" r:id="rId14"/>
    <sheet name="44. TRAINING" sheetId="27" r:id="rId15"/>
    <sheet name="BSCC USE ONLY REPORT TOTALS " sheetId="8" state="hidden" r:id="rId16"/>
    <sheet name="Drop Down List for Exp Cats" sheetId="9" state="hidden" r:id="rId17"/>
    <sheet name="YOBG-FUNDED ASSESSMENTS" sheetId="10" state="hidden" r:id="rId18"/>
    <sheet name="STRATEGY FOR REALIGNED YOUTH" sheetId="11" state="hidden" r:id="rId19"/>
    <sheet name="OTHER" sheetId="12" state="hidden" r:id="rId20"/>
    <sheet name="Data" sheetId="13" state="hidden" r:id="rId21"/>
    <sheet name="Data2" sheetId="14" state="hidden" r:id="rId22"/>
    <sheet name="Data3" sheetId="15" state="hidden" r:id="rId23"/>
    <sheet name="tables" sheetId="16" state="hidden" r:id="rId24"/>
    <sheet name="ImportData" sheetId="17" state="hidden" r:id="rId25"/>
    <sheet name="ImportData2" sheetId="18" state="hidden" r:id="rId26"/>
    <sheet name="ImportData3" sheetId="19" state="hidden" r:id="rId27"/>
  </sheets>
  <definedNames>
    <definedName name="_Tot1">'EXPENDITURE DETAILS'!#REF!</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DETAILS'!#REF!</definedName>
    <definedName name="t1jjcpacbo">'EXPENDITURE DETAILS'!#REF!</definedName>
    <definedName name="t1jjcpaequip">'EXPENDITURE DETAILS'!#REF!</definedName>
    <definedName name="t1jjcpaothr1">'EXPENDITURE DETAILS'!#REF!</definedName>
    <definedName name="t1jjcpaothr2">'EXPENDITURE DETAILS'!#REF!</definedName>
    <definedName name="t1jjcpaothr3">'EXPENDITURE DETAILS'!#REF!</definedName>
    <definedName name="t1jjcpaprof">'EXPENDITURE DETAILS'!#REF!</definedName>
    <definedName name="t1jjcpasal">'EXPENDITURE DETAILS'!#REF!</definedName>
    <definedName name="t1jjcpaserv">'EXPENDITURE DETAILS'!#REF!</definedName>
    <definedName name="t1jjcpatot">'EXPENDITURE DETAILS'!#REF!</definedName>
    <definedName name="t1location">#REF!</definedName>
    <definedName name="t1nar">#REF!</definedName>
    <definedName name="t1numcode">'EXPENDITURE DETAILS'!#REF!</definedName>
    <definedName name="t1other1">'EXPENDITURE DETAILS'!#REF!</definedName>
    <definedName name="t1other2">'EXPENDITURE DETAILS'!#REF!</definedName>
    <definedName name="t1other3">'EXPENDITURE DETAILS'!#REF!</definedName>
    <definedName name="t1otheradmin">'EXPENDITURE DETAILS'!#REF!</definedName>
    <definedName name="t1othercbo">'EXPENDITURE DETAILS'!#REF!</definedName>
    <definedName name="t1otherequip">'EXPENDITURE DETAILS'!#REF!</definedName>
    <definedName name="t1otherothr1">'EXPENDITURE DETAILS'!#REF!</definedName>
    <definedName name="t1otherothr2">'EXPENDITURE DETAILS'!#REF!</definedName>
    <definedName name="t1otherothr3">'EXPENDITURE DETAILS'!#REF!</definedName>
    <definedName name="t1otherprof">'EXPENDITURE DETAILS'!#REF!</definedName>
    <definedName name="t1othersal">'EXPENDITURE DETAILS'!#REF!</definedName>
    <definedName name="t1otherserv">'EXPENDITURE DETAILS'!#REF!</definedName>
    <definedName name="t1othertot">'EXPENDITURE DETAILS'!#REF!</definedName>
    <definedName name="t1progname">#REF!</definedName>
    <definedName name="t1prognamealt">#REF!</definedName>
    <definedName name="t1totpercap">#REF!</definedName>
    <definedName name="t1yobgadmin">'EXPENDITURE DETAILS'!#REF!</definedName>
    <definedName name="t1yobgcbo">'EXPENDITURE DETAILS'!#REF!</definedName>
    <definedName name="t1yobgequip">'EXPENDITURE DETAILS'!#REF!</definedName>
    <definedName name="t1yobgothr1">'EXPENDITURE DETAILS'!#REF!</definedName>
    <definedName name="t1yobgothr2">'EXPENDITURE DETAILS'!#REF!</definedName>
    <definedName name="t1yobgothr3">'EXPENDITURE DETAILS'!#REF!</definedName>
    <definedName name="t1yobgpercap">#REF!</definedName>
    <definedName name="t1yobgprof">'EXPENDITURE DETAILS'!#REF!</definedName>
    <definedName name="t1yobgsal">'EXPENDITURE DETAILS'!#REF!</definedName>
    <definedName name="t1yobgserv">'EXPENDITURE DETAILS'!#REF!</definedName>
    <definedName name="t1yobgtot">'EXPENDITURE DETAILS'!#REF!</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7" l="1"/>
  <c r="G18" i="27"/>
  <c r="E18" i="27"/>
  <c r="H1" i="27"/>
  <c r="I18" i="26"/>
  <c r="G18" i="26"/>
  <c r="E18" i="26"/>
  <c r="H1" i="26"/>
  <c r="I18" i="25"/>
  <c r="G18" i="25"/>
  <c r="E18" i="25"/>
  <c r="H1" i="25"/>
  <c r="I18" i="24"/>
  <c r="G18" i="24"/>
  <c r="E18" i="24"/>
  <c r="H1" i="24"/>
  <c r="I18" i="23"/>
  <c r="G18" i="23"/>
  <c r="E18" i="23"/>
  <c r="H1" i="23"/>
  <c r="I18" i="22"/>
  <c r="G18" i="22"/>
  <c r="E18" i="22"/>
  <c r="H1" i="22"/>
  <c r="I18" i="21"/>
  <c r="G18" i="21"/>
  <c r="E18" i="21"/>
  <c r="H1" i="21"/>
  <c r="I18" i="20"/>
  <c r="G18" i="20"/>
  <c r="E18" i="20"/>
  <c r="H1" i="20"/>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7" i="13"/>
  <c r="B16" i="13"/>
  <c r="B15" i="13"/>
  <c r="B14" i="13"/>
  <c r="B13" i="13"/>
  <c r="B12" i="13"/>
  <c r="B11" i="13"/>
  <c r="B10" i="13"/>
  <c r="B9" i="13"/>
  <c r="B8" i="13"/>
  <c r="B7" i="13"/>
  <c r="B6" i="13"/>
  <c r="B5" i="13"/>
  <c r="B4" i="13"/>
  <c r="B3" i="13"/>
  <c r="B2" i="13"/>
  <c r="B1" i="13"/>
  <c r="E56" i="12"/>
  <c r="E53" i="11"/>
  <c r="E56" i="10"/>
  <c r="H3" i="8"/>
  <c r="I18" i="7"/>
  <c r="G18" i="7"/>
  <c r="E18" i="7"/>
  <c r="H1" i="7"/>
  <c r="AZ2" i="17"/>
  <c r="AP2" i="17"/>
  <c r="B32" i="13"/>
  <c r="H65" i="6"/>
  <c r="H1" i="6"/>
  <c r="H1" i="5"/>
  <c r="G26" i="4"/>
  <c r="J32" i="8" s="1"/>
  <c r="G18" i="4"/>
  <c r="J28" i="8" s="1"/>
  <c r="G12" i="4"/>
  <c r="D28" i="8" s="1"/>
  <c r="G1" i="4"/>
  <c r="J44" i="3"/>
  <c r="J21" i="8" s="1"/>
  <c r="J34" i="3"/>
  <c r="J17" i="8" s="1"/>
  <c r="J26" i="3"/>
  <c r="D21" i="8" s="1"/>
  <c r="J9" i="3"/>
  <c r="D17" i="8" s="1"/>
  <c r="K1" i="3"/>
  <c r="I27" i="2"/>
  <c r="J10" i="8" s="1"/>
  <c r="I16" i="2"/>
  <c r="D10" i="8" s="1"/>
  <c r="K1" i="2"/>
  <c r="FG2" i="19" l="1"/>
  <c r="B18" i="13"/>
  <c r="B42" i="13"/>
  <c r="FI2" i="19"/>
  <c r="B52" i="13"/>
  <c r="AF2" i="17"/>
  <c r="B163" i="15"/>
  <c r="Q2" i="17"/>
  <c r="R2" i="17"/>
  <c r="B165" i="15"/>
  <c r="S2" i="17"/>
</calcChain>
</file>

<file path=xl/sharedStrings.xml><?xml version="1.0" encoding="utf-8"?>
<sst xmlns="http://schemas.openxmlformats.org/spreadsheetml/2006/main" count="1976" uniqueCount="927">
  <si>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</si>
  <si>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</si>
  <si>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</si>
  <si>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</si>
  <si>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</si>
  <si>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</si>
  <si>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</si>
  <si>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</si>
  <si>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</si>
  <si>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</si>
  <si>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</si>
  <si>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</si>
  <si>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</si>
  <si>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</si>
  <si>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</si>
  <si>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</si>
  <si>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</si>
  <si>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</si>
  <si>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</si>
  <si>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</si>
  <si>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</si>
  <si>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</si>
  <si>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</si>
  <si>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</si>
  <si>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</si>
  <si>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</si>
  <si>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</si>
  <si>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</si>
  <si>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</si>
  <si>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</si>
  <si>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</si>
  <si>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</si>
  <si>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</si>
  <si>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</si>
  <si>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</si>
  <si>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</si>
  <si>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</si>
  <si>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</si>
  <si>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</si>
  <si>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</si>
  <si>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</si>
  <si>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</si>
  <si>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</si>
  <si>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</si>
  <si>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</si>
  <si>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</si>
  <si>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</si>
  <si>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</si>
  <si>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</si>
  <si>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</si>
  <si>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</si>
  <si>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family val="2"/>
      </rPr>
      <t>California Youth Authority</t>
    </r>
    <r>
      <rPr>
        <b/>
        <sz val="12"/>
        <color theme="1"/>
        <rFont val="Arial"/>
        <family val="2"/>
      </rPr>
      <t>*</t>
    </r>
  </si>
  <si>
    <t>Subsequent Actions</t>
  </si>
  <si>
    <t>Technical Violations</t>
  </si>
  <si>
    <t>Sex   (OPTIONAL)</t>
  </si>
  <si>
    <r>
      <rPr>
        <b/>
        <sz val="12"/>
        <color theme="1"/>
        <rFont val="Arial"/>
        <family val="2"/>
      </rPr>
      <t>*</t>
    </r>
    <r>
      <rPr>
        <b/>
        <sz val="9"/>
        <color theme="1"/>
        <rFont val="Arial"/>
        <family val="2"/>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</si>
  <si>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</si>
  <si>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</si>
  <si>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</si>
  <si>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</si>
  <si>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</si>
  <si>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</si>
  <si>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</si>
  <si>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</si>
  <si>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</si>
  <si>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</si>
  <si>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</si>
  <si>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</si>
  <si>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</si>
  <si>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</si>
  <si>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</si>
  <si>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</si>
  <si>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</si>
  <si>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</si>
  <si>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</si>
  <si>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</si>
  <si>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</si>
  <si>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</si>
  <si>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</si>
  <si>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</si>
  <si>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</si>
  <si>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</si>
  <si>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</si>
  <si>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</si>
  <si>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</si>
  <si>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</si>
  <si>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</si>
  <si>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</si>
  <si>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</si>
  <si>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</si>
  <si>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</si>
  <si>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</si>
  <si>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</si>
  <si>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</si>
  <si>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</si>
  <si>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</si>
  <si>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</si>
  <si>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</si>
  <si>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</si>
  <si>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</si>
  <si>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</si>
  <si>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</si>
  <si>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</si>
  <si>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</si>
  <si>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</si>
  <si>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</si>
  <si>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</si>
  <si>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</si>
  <si>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</si>
  <si>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</si>
  <si>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</si>
  <si>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</si>
  <si>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</si>
  <si>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</si>
  <si>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</si>
  <si>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</si>
  <si>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</si>
  <si>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</si>
  <si>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</si>
  <si>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</si>
  <si>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</si>
  <si>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</si>
  <si>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</si>
  <si>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</si>
  <si>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</si>
  <si>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</si>
  <si>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</si>
  <si>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</si>
  <si>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</si>
  <si>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</si>
  <si>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family val="2"/>
      </rPr>
      <t>Salaries and Benefits</t>
    </r>
    <r>
      <rPr>
        <sz val="10"/>
        <color theme="1"/>
        <rFont val="Arial"/>
        <family val="2"/>
      </rPr>
      <t xml:space="preserve"> includes all expenditures related to paying the salaries and benefits of county probation (or other county department) employees who were directly involved in grant-related activities. </t>
    </r>
  </si>
  <si>
    <r>
      <rPr>
        <b/>
        <sz val="10"/>
        <color theme="1"/>
        <rFont val="Arial"/>
        <family val="2"/>
      </rPr>
      <t xml:space="preserve">Services and Supplies </t>
    </r>
    <r>
      <rPr>
        <sz val="10"/>
        <color theme="1"/>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</si>
  <si>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family val="2"/>
      </rPr>
      <t xml:space="preserve">Professional Services </t>
    </r>
    <r>
      <rPr>
        <sz val="10"/>
        <color theme="1"/>
        <rFont val="Arial"/>
        <family val="2"/>
      </rPr>
      <t>includes all services provided by individuals and agencies with whom the County contracts. The county is responsible for reimbursing every contracted individual/agency.</t>
    </r>
  </si>
  <si>
    <r>
      <rPr>
        <b/>
        <sz val="10"/>
        <color theme="1"/>
        <rFont val="Arial"/>
        <family val="2"/>
      </rPr>
      <t xml:space="preserve">Community-Based  Organizations   (CBO) </t>
    </r>
    <r>
      <rPr>
        <sz val="10"/>
        <color theme="1"/>
        <rFont val="Arial"/>
        <family val="2"/>
      </rPr>
      <t xml:space="preserve"> includes  all  expenditures  for  services  received  from  CBO's.   </t>
    </r>
    <r>
      <rPr>
        <b/>
        <i/>
        <sz val="10"/>
        <color theme="1"/>
        <rFont val="Arial"/>
        <family val="2"/>
      </rPr>
      <t>NOTE</t>
    </r>
    <r>
      <rPr>
        <sz val="10"/>
        <color theme="1"/>
        <rFont val="Arial"/>
        <family val="2"/>
      </rPr>
      <t>:</t>
    </r>
    <r>
      <rPr>
        <i/>
        <sz val="10"/>
        <color theme="1"/>
        <rFont val="Arial"/>
        <family val="2"/>
      </rPr>
      <t xml:space="preserve"> If you use JJCPA and/or YOBG funds to contract with a CBO, report that expenditure on this line item rather than on the Professional Services line item.</t>
    </r>
  </si>
  <si>
    <r>
      <rPr>
        <b/>
        <sz val="10"/>
        <color theme="1"/>
        <rFont val="Arial"/>
        <family val="2"/>
      </rPr>
      <t>Fixed Assets/Equipment</t>
    </r>
    <r>
      <rPr>
        <sz val="10"/>
        <color theme="1"/>
        <rFont val="Arial"/>
        <family val="2"/>
      </rPr>
      <t xml:space="preserve"> includes items such as vehicles and equipment needed to implement and/or operate the program, placement, service, etc. (e.g., computer and other office equipment including furniture).</t>
    </r>
  </si>
  <si>
    <r>
      <rPr>
        <b/>
        <sz val="10"/>
        <color theme="1"/>
        <rFont val="Arial"/>
        <family val="2"/>
      </rPr>
      <t>Administrative Overhead</t>
    </r>
    <r>
      <rPr>
        <sz val="10"/>
        <color theme="1"/>
        <rFont val="Arial"/>
        <family val="2"/>
      </rPr>
      <t xml:space="preserve"> includes all costs associated with administration of the program, placement, service, strategy, and/or system enhancement being supported by JJCPA and/or YOBG funds.</t>
    </r>
  </si>
  <si>
    <r>
      <rPr>
        <sz val="10"/>
        <color theme="1"/>
        <rFont val="Arial"/>
        <family val="2"/>
      </rPr>
      <t xml:space="preserve">Use the space below the budget detail to provide a narrative description for each program, placement, service, strategy, and/or system enhancement that was funded last year.  </t>
    </r>
    <r>
      <rPr>
        <i/>
        <sz val="10"/>
        <color theme="1"/>
        <rFont val="Arial"/>
        <family val="2"/>
      </rPr>
      <t xml:space="preserve">To do so, double click on the response box provided for this purpose. </t>
    </r>
    <r>
      <rPr>
        <sz val="10"/>
        <color theme="1"/>
        <rFont val="Arial"/>
        <family val="2"/>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</si>
  <si>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</si>
  <si>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family val="2"/>
      </rPr>
      <t xml:space="preserve">And, as previously stated, we </t>
    </r>
    <r>
      <rPr>
        <b/>
        <sz val="10"/>
        <color theme="1"/>
        <rFont val="Arial"/>
        <family val="2"/>
      </rPr>
      <t>strongly suggest you use Spell Check</t>
    </r>
    <r>
      <rPr>
        <sz val="10"/>
        <color theme="1"/>
        <rFont val="Arial"/>
        <family val="2"/>
      </rPr>
      <t xml:space="preserve"> before returning to the OYCR.</t>
    </r>
  </si>
  <si>
    <t>1. Program, Placement, Service, Strategy, or System Enhancement</t>
  </si>
  <si>
    <t xml:space="preserve">Name of program, placement, service, </t>
  </si>
  <si>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</si>
  <si>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</si>
  <si>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</si>
  <si>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</si>
  <si>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</si>
  <si>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</si>
  <si>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</si>
  <si>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</si>
  <si>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</si>
  <si>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</si>
  <si>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</si>
  <si>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</si>
  <si>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</si>
  <si>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</si>
  <si>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</si>
  <si>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strategy or system enhancement:</t>
  </si>
  <si>
    <r>
      <rPr>
        <sz val="10"/>
        <color theme="1"/>
        <rFont val="Arial"/>
        <family val="2"/>
      </rPr>
      <t>Expenditure Category</t>
    </r>
    <r>
      <rPr>
        <sz val="8"/>
        <color theme="1"/>
        <rFont val="Arial"/>
        <family val="2"/>
      </rPr>
      <t>:</t>
    </r>
  </si>
  <si>
    <t>9. Program, Placement, Service, Strategy, or System Enhancement</t>
  </si>
  <si>
    <t>16. Program, Placement, Service, Strategy, or System Enhancement</t>
  </si>
  <si>
    <r>
      <rPr>
        <sz val="10"/>
        <color theme="1"/>
        <rFont val="Arial"/>
        <family val="2"/>
      </rPr>
      <t>Expenditure Category</t>
    </r>
    <r>
      <rPr>
        <sz val="8"/>
        <color theme="1"/>
        <rFont val="Arial"/>
        <family val="2"/>
      </rPr>
      <t>:</t>
    </r>
  </si>
  <si>
    <t>23. Program, Placement, Service, Strategy, or System Enhancement</t>
  </si>
  <si>
    <t>27. Program, Placement, Service, Strategy, or System Enhancement</t>
  </si>
  <si>
    <t>29. Program, Placement, Service, Strategy, or System Enhancement</t>
  </si>
  <si>
    <t>30. Program, Placement, Service, Strategy, or System Enhancement</t>
  </si>
  <si>
    <t>FOR BSCC USE ONLY</t>
  </si>
  <si>
    <r>
      <rPr>
        <b/>
        <sz val="10"/>
        <color rgb="FFFFFFFF"/>
        <rFont val="Arial"/>
        <family val="2"/>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family val="2"/>
      </rPr>
      <t>Report 1 TOTALS</t>
    </r>
  </si>
  <si>
    <t>Sex (Male &amp; Female)</t>
  </si>
  <si>
    <t>Race/Ethnic Group</t>
  </si>
  <si>
    <t>(Optional)</t>
  </si>
  <si>
    <r>
      <rPr>
        <b/>
        <sz val="10"/>
        <color rgb="FFFFFFFF"/>
        <rFont val="Arial"/>
        <family val="2"/>
      </rPr>
      <t xml:space="preserve">Juvenile Court Dispositions Resulting From Petitions for Delinquesnt Acts, January 1 - December 31, 2016
</t>
    </r>
    <r>
      <rPr>
        <b/>
        <sz val="9"/>
        <color rgb="FFFFFFFF"/>
        <rFont val="Arial"/>
        <family val="2"/>
      </rPr>
      <t>Age by Petition Type, Sex, Race/Ethnic Group, Defense Representation, Court Disposition and Wardship Placement</t>
    </r>
    <r>
      <rPr>
        <b/>
        <sz val="10"/>
        <color rgb="FFFFFFFF"/>
        <rFont val="Arial"/>
        <family val="2"/>
      </rPr>
      <t xml:space="preserve">
</t>
    </r>
    <r>
      <rPr>
        <b/>
        <sz val="14"/>
        <color rgb="FFFFFFFF"/>
        <rFont val="Arial"/>
        <family val="2"/>
      </rPr>
      <t>Report 3 TOTALS</t>
    </r>
  </si>
  <si>
    <r>
      <rPr>
        <b/>
        <i/>
        <sz val="11"/>
        <color theme="0"/>
        <rFont val="Arial"/>
        <family val="2"/>
      </rP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</si>
  <si>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</si>
  <si>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</si>
  <si>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</si>
  <si>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</si>
  <si>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</si>
  <si>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</si>
  <si>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</si>
  <si>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</si>
  <si>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</si>
  <si>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</si>
  <si>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</si>
  <si>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</si>
  <si>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</si>
  <si>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</si>
  <si>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</si>
  <si>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</si>
  <si>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</si>
  <si>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</si>
  <si>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</si>
  <si>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</si>
  <si>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</si>
  <si>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</si>
  <si>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</si>
  <si>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</si>
  <si>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</si>
  <si>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</si>
  <si>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</si>
  <si>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family val="2"/>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</si>
  <si>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</si>
  <si>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</si>
  <si>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family val="2"/>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</si>
  <si>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</si>
  <si>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</si>
  <si>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</si>
  <si>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</si>
  <si>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</si>
  <si>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family val="2"/>
      </rPr>
      <t>1.</t>
    </r>
    <r>
      <rPr>
        <sz val="9"/>
        <color theme="1"/>
        <rFont val="Arial"/>
        <family val="2"/>
      </rPr>
      <t xml:space="preserve">  Is your Juvenile Justice Coordinating Council aware of your planned YOBG expenditures?</t>
    </r>
  </si>
  <si>
    <r>
      <rPr>
        <sz val="10"/>
        <color theme="1"/>
        <rFont val="Arial"/>
        <family val="2"/>
      </rPr>
      <t>2.</t>
    </r>
    <r>
      <rPr>
        <sz val="10"/>
        <color theme="1"/>
        <rFont val="Arial"/>
        <family val="2"/>
      </rPr>
      <t xml:space="preserve"> Were there specific discussions related to coordination between JJCPA and YOBG?</t>
    </r>
  </si>
  <si>
    <r>
      <rPr>
        <sz val="10"/>
        <color theme="1"/>
        <rFont val="Arial"/>
        <family val="2"/>
      </rPr>
      <t>3.</t>
    </r>
    <r>
      <rPr>
        <sz val="10"/>
        <color theme="1"/>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</si>
  <si>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</si>
  <si>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</si>
  <si>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family val="2"/>
      </rPr>
      <t xml:space="preserve">This concludes the application.  </t>
    </r>
    <r>
      <rPr>
        <b/>
        <sz val="10"/>
        <color theme="1"/>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</si>
  <si>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</si>
  <si>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</si>
  <si>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</si>
  <si>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</si>
  <si>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</si>
  <si>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</si>
  <si>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</si>
  <si>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</si>
  <si>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</si>
  <si>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</si>
  <si>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</si>
  <si>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</si>
  <si>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</si>
  <si>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</si>
  <si>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</si>
  <si>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</si>
  <si>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</si>
  <si>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</si>
  <si>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</si>
  <si>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</si>
  <si>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</si>
  <si>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</si>
  <si>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</si>
  <si>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</si>
  <si>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</si>
  <si>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</si>
  <si>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</si>
  <si>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</si>
  <si>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</si>
  <si>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</si>
  <si>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</si>
  <si>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</si>
  <si>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</si>
  <si>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</si>
  <si>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</si>
  <si>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</si>
  <si>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</si>
  <si>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</si>
  <si>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</si>
  <si>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</si>
  <si>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</si>
  <si>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</si>
  <si>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</si>
  <si>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</si>
  <si>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</si>
  <si>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</si>
  <si>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</si>
  <si>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</si>
  <si>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</si>
  <si>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</si>
  <si>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</si>
  <si>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</si>
  <si>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</si>
  <si>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</si>
  <si>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</si>
  <si>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</si>
  <si>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</si>
  <si>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</si>
  <si>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</si>
  <si>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</si>
  <si>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</si>
  <si>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</si>
  <si>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</si>
  <si>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</si>
  <si>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</si>
  <si>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</si>
  <si>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</si>
  <si>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</si>
  <si>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</si>
  <si>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</si>
  <si>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</si>
  <si>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</si>
  <si>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</si>
  <si>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</si>
  <si>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</si>
  <si>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</si>
  <si>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</si>
  <si>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</si>
  <si>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</si>
  <si>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</si>
  <si>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</si>
  <si>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</si>
  <si>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</si>
  <si>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</si>
  <si>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</si>
  <si>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</si>
  <si>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</si>
  <si>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</si>
  <si>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</si>
  <si>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</si>
  <si>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</si>
  <si>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</si>
  <si>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</si>
  <si>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</si>
  <si>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</si>
  <si>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</si>
  <si>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</si>
  <si>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</si>
  <si>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</si>
  <si>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</si>
  <si>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</si>
  <si>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</si>
  <si>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</si>
  <si>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</si>
  <si>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</si>
  <si>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</si>
  <si>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</si>
  <si>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</si>
  <si>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</si>
  <si>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</si>
  <si>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</si>
  <si>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</si>
  <si>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</si>
  <si>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</si>
  <si>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</si>
  <si>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</si>
  <si>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</si>
  <si>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</si>
  <si>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</si>
  <si>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</si>
  <si>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</si>
  <si>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</si>
  <si>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</si>
  <si>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</si>
  <si>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</si>
  <si>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</si>
  <si>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</si>
  <si>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</si>
  <si>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</si>
  <si>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</si>
  <si>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</si>
  <si>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</si>
  <si>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</si>
  <si>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</si>
  <si>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</si>
  <si>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</si>
  <si>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</si>
  <si>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</si>
  <si>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</si>
  <si>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</si>
  <si>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</si>
  <si>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</si>
  <si>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</si>
  <si>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</si>
  <si>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</si>
  <si>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</si>
  <si>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</si>
  <si>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</si>
  <si>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</si>
  <si>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</si>
  <si>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</si>
  <si>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</si>
  <si>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</si>
  <si>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</si>
  <si>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</si>
  <si>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</si>
  <si>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</si>
  <si>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</si>
  <si>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</si>
  <si>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</si>
  <si>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</si>
  <si>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</si>
  <si>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</si>
  <si>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</si>
  <si>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</si>
  <si>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</si>
  <si>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</si>
  <si>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</si>
  <si>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</si>
  <si>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</si>
  <si>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</si>
  <si>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</si>
  <si>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</si>
  <si>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</si>
  <si>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</si>
  <si>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</si>
  <si>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</si>
  <si>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</si>
  <si>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</si>
  <si>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</si>
  <si>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</si>
  <si>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</si>
  <si>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</si>
  <si>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</si>
  <si>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</si>
  <si>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</si>
  <si>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</si>
  <si>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</si>
  <si>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</si>
  <si>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</si>
  <si>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</si>
  <si>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</si>
  <si>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</si>
  <si>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</si>
  <si>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</si>
  <si>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</si>
  <si>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</si>
  <si>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</si>
  <si>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</si>
  <si>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</si>
  <si>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</si>
  <si>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</si>
  <si>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</si>
  <si>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</si>
  <si>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</si>
  <si>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</si>
  <si>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</si>
  <si>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</si>
  <si>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</si>
  <si>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</si>
  <si>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</si>
  <si>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</si>
  <si>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</si>
  <si>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</si>
  <si>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</si>
  <si>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</si>
  <si>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</si>
  <si>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</si>
  <si>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</si>
  <si>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</si>
  <si>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</si>
  <si>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</si>
  <si>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</si>
  <si>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</si>
  <si>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</si>
  <si>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</si>
  <si>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</si>
  <si>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</si>
  <si>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</si>
  <si>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</si>
  <si>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</si>
  <si>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</si>
  <si>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</si>
  <si>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</si>
  <si>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</si>
  <si>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</si>
  <si>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</si>
  <si>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</si>
  <si>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</si>
  <si>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</si>
  <si>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</si>
  <si>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</si>
  <si>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</si>
  <si>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</si>
  <si>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</si>
  <si>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</si>
  <si>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</si>
  <si>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</si>
  <si>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</si>
  <si>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</si>
  <si>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</si>
  <si>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</si>
  <si>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</si>
  <si>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</si>
  <si>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</si>
  <si>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</si>
  <si>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</si>
  <si>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</si>
  <si>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</si>
  <si>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</si>
  <si>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</si>
  <si>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</si>
  <si>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</si>
  <si>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</si>
  <si>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</si>
  <si>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</si>
  <si>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</si>
  <si>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</si>
  <si>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</si>
  <si>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</si>
  <si>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</si>
  <si>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</si>
  <si>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</si>
  <si>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</si>
  <si>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</si>
  <si>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</si>
  <si>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</si>
  <si>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</si>
  <si>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</si>
  <si>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</si>
  <si>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</si>
  <si>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</si>
  <si>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</si>
  <si>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</si>
  <si>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</si>
  <si>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</si>
  <si>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</si>
  <si>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</si>
  <si>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</si>
  <si>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</si>
  <si>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</si>
  <si>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</si>
  <si>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</si>
  <si>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</si>
  <si>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</si>
  <si>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</si>
  <si>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</si>
  <si>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</si>
  <si>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</si>
  <si>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</si>
  <si>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</si>
  <si>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</si>
  <si>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</si>
  <si>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</si>
  <si>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</si>
  <si>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</si>
  <si>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</si>
  <si>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</si>
  <si>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</si>
  <si>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</si>
  <si>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</si>
  <si>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</si>
  <si>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</si>
  <si>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</si>
  <si>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</si>
  <si>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</si>
  <si>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</si>
  <si>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</si>
  <si>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</si>
  <si>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</si>
  <si>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</si>
  <si>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</si>
  <si>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</si>
  <si>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</si>
  <si>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</si>
  <si>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</si>
  <si>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</si>
  <si>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</si>
  <si>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</si>
  <si>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</si>
  <si>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</si>
  <si>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</si>
  <si>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</si>
  <si>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</si>
  <si>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</si>
  <si>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</si>
  <si>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</si>
  <si>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</si>
  <si>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</si>
  <si>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</si>
  <si>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</si>
  <si>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</si>
  <si>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</si>
  <si>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</si>
  <si>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</si>
  <si>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</si>
  <si>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</si>
  <si>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</si>
  <si>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</si>
  <si>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</si>
  <si>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</si>
  <si>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</si>
  <si>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</si>
  <si>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</si>
  <si>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</si>
  <si>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</si>
  <si>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</si>
  <si>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</si>
  <si>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</si>
  <si>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</si>
  <si>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</si>
  <si>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</si>
  <si>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</si>
  <si>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</si>
  <si>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</si>
  <si>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</si>
  <si>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</si>
  <si>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</si>
  <si>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</si>
  <si>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</si>
  <si>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</si>
  <si>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</si>
  <si>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</si>
  <si>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</si>
  <si>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</si>
  <si>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</si>
  <si>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</si>
  <si>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</si>
  <si>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</si>
  <si>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</si>
  <si>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</si>
  <si>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</si>
  <si>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</si>
  <si>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</si>
  <si>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</si>
  <si>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</si>
  <si>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</si>
  <si>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</si>
  <si>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</si>
  <si>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</si>
  <si>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</si>
  <si>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</si>
  <si>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</si>
  <si>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</si>
  <si>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</si>
  <si>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</si>
  <si>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</si>
  <si>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</si>
  <si>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</si>
  <si>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</si>
  <si>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</si>
  <si>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</si>
  <si>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</si>
  <si>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</si>
  <si>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</si>
  <si>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</si>
  <si>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</si>
  <si>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</si>
  <si>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</si>
  <si>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</si>
  <si>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</si>
  <si>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</si>
  <si>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</si>
  <si>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</si>
  <si>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</si>
  <si>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</si>
  <si>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</si>
  <si>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</si>
  <si>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</si>
  <si>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</si>
  <si>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</si>
  <si>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</si>
  <si>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</si>
  <si>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</si>
  <si>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</si>
  <si>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</si>
  <si>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</si>
  <si>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</si>
  <si>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</si>
  <si>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</si>
  <si>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</si>
  <si>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</si>
  <si>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</si>
  <si>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</si>
  <si>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</si>
  <si>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</si>
  <si>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</si>
  <si>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</si>
  <si>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</si>
  <si>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</si>
  <si>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</si>
  <si>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</si>
  <si>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</si>
  <si>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</si>
  <si>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</si>
  <si>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</si>
  <si>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</si>
  <si>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</si>
  <si>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</si>
  <si>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</si>
  <si>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</si>
  <si>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</si>
  <si>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</si>
  <si>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</si>
  <si>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</si>
  <si>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</si>
  <si>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</si>
  <si>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</si>
  <si>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</si>
  <si>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</si>
  <si>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</si>
  <si>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</si>
  <si>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</si>
  <si>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</si>
  <si>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</si>
  <si>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</si>
  <si>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</si>
  <si>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</si>
  <si>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</si>
  <si>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</si>
  <si>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</si>
  <si>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</si>
  <si>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</si>
  <si>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</si>
  <si>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</si>
  <si>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</si>
  <si>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</si>
  <si>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</si>
  <si>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</si>
  <si>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</si>
  <si>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</si>
  <si>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</si>
  <si>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</si>
  <si>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</si>
  <si>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</si>
  <si>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</si>
  <si>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</si>
  <si>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</si>
  <si>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</si>
  <si>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</si>
  <si>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</si>
  <si>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</si>
  <si>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</si>
  <si>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</si>
  <si>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</si>
  <si>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</si>
  <si>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</si>
  <si>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</si>
  <si>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</si>
  <si>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</si>
  <si>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</si>
  <si>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</si>
  <si>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</si>
  <si>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</si>
  <si>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</si>
  <si>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</si>
  <si>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</si>
  <si>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</si>
  <si>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</si>
  <si>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</si>
  <si>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</si>
  <si>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</si>
  <si>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</si>
  <si>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</si>
  <si>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</si>
  <si>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</si>
  <si>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</si>
  <si>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</si>
  <si>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</si>
  <si>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</si>
  <si>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</si>
  <si>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</si>
  <si>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</si>
  <si>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</si>
  <si>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</si>
  <si>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</si>
  <si>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</si>
  <si>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</si>
  <si>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</si>
  <si>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</si>
  <si>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</si>
  <si>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</si>
  <si>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</si>
  <si>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</si>
  <si>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</si>
  <si>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</si>
  <si>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</si>
  <si>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</si>
  <si>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</si>
  <si>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</si>
  <si>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</si>
  <si>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</si>
  <si>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</si>
  <si>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</si>
  <si>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</si>
  <si>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</si>
  <si>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</si>
  <si>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</si>
  <si>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</si>
  <si>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</si>
  <si>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</si>
  <si>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</si>
  <si>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</si>
  <si>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</si>
  <si>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</si>
  <si>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</si>
  <si>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</si>
  <si>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</si>
  <si>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</si>
  <si>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</si>
  <si>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</si>
  <si>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</si>
  <si>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</si>
  <si>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</si>
  <si>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</si>
  <si>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</si>
  <si>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</si>
  <si>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</si>
  <si>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</si>
  <si>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</si>
  <si>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</si>
  <si>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</si>
  <si>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</si>
  <si>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</si>
  <si>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</si>
  <si>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</si>
  <si>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</si>
  <si>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</si>
  <si>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</si>
  <si>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</si>
  <si>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</si>
  <si>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</si>
  <si>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</si>
  <si>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</si>
  <si>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</si>
  <si>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</si>
  <si>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</si>
  <si>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</si>
  <si>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</si>
  <si>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</si>
  <si>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</si>
  <si>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</si>
  <si>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</si>
  <si>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</si>
  <si>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</si>
  <si>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</si>
  <si>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</si>
  <si>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</si>
  <si>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</si>
  <si>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</si>
  <si>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</si>
  <si>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</si>
  <si>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</si>
  <si>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</si>
  <si>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</si>
  <si>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</si>
  <si>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</si>
  <si>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</si>
  <si>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</si>
  <si>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</si>
  <si>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</si>
  <si>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</si>
  <si>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</si>
  <si>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</si>
  <si>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</si>
  <si>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</si>
  <si>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</si>
  <si>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</si>
  <si>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</si>
  <si>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</si>
  <si>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</si>
  <si>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</si>
  <si>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</si>
  <si>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</si>
  <si>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</si>
  <si>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</si>
  <si>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</si>
  <si>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</si>
  <si>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</si>
  <si>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</si>
  <si>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</si>
  <si>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</si>
  <si>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</si>
  <si>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</si>
  <si>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</si>
  <si>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</si>
  <si>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</si>
  <si>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</si>
  <si>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</si>
  <si>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</si>
  <si>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</si>
  <si>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</si>
  <si>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</si>
  <si>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</si>
  <si>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</si>
  <si>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</si>
  <si>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</si>
  <si>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</si>
  <si>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</si>
  <si>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</si>
  <si>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</si>
  <si>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</si>
  <si>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</si>
  <si>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</si>
  <si>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</si>
  <si>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</si>
  <si>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</si>
  <si>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</si>
  <si>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</si>
  <si>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</si>
  <si>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</si>
  <si>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</si>
  <si>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</si>
  <si>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</si>
  <si>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</si>
  <si>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</si>
  <si>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</si>
  <si>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</si>
  <si>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</si>
  <si>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</si>
  <si>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</si>
  <si>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</si>
  <si>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</si>
  <si>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</si>
  <si>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</si>
  <si>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</si>
  <si>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</si>
  <si>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</si>
  <si>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</si>
  <si>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</si>
  <si>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</si>
  <si>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</si>
  <si>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</si>
  <si>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</si>
  <si>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</si>
  <si>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</si>
  <si>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family val="2"/>
      </rPr>
      <t>Age by Petition Type, Sex, Race/Ethnic Group, Defense Representation, Court Disposition and Wardship Placement</t>
    </r>
    <r>
      <rPr>
        <b/>
        <sz val="10"/>
        <color rgb="FFFFFFFF"/>
        <rFont val="Arial"/>
        <family val="2"/>
      </rPr>
      <t xml:space="preserve">
Report 3</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</si>
  <si>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</si>
  <si>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</si>
  <si>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Rachelle Gayton</t>
  </si>
  <si>
    <t>Probation Division Manager of Administration</t>
  </si>
  <si>
    <t>(530) 406-5358</t>
  </si>
  <si>
    <t>Rachelle.Gayton@YoloCounty.gov</t>
  </si>
  <si>
    <t>AnnMarie Boylan</t>
  </si>
  <si>
    <t>Fiscal Administrative Officer</t>
  </si>
  <si>
    <t>(530) 406-5329</t>
  </si>
  <si>
    <t xml:space="preserve">AnnMarie.Boylan@YoloCounty.gov </t>
  </si>
  <si>
    <t>36. Program, Placement, Service, Strategy, or System Enhancement</t>
  </si>
  <si>
    <t>44. Program, Placement, Service, Strategy, or System Enhancement</t>
  </si>
  <si>
    <t xml:space="preserve">Youth who have been released from detention on a global positioning system (GPS) monitoring unit fall under the Electronic Monitoring Program.  GPS is ordered by the Court as an alternative to detention and as a supervision tool to monitor at-promise youth on the verge of out of home care. </t>
  </si>
  <si>
    <r>
      <rPr>
        <b/>
        <sz val="10"/>
        <color theme="1"/>
        <rFont val="Arial"/>
        <family val="2"/>
      </rPr>
      <t xml:space="preserve">Community Based Organization (CBO) </t>
    </r>
    <r>
      <rPr>
        <sz val="10"/>
        <color theme="1"/>
        <rFont val="Arial"/>
        <family val="2"/>
      </rPr>
      <t xml:space="preserve">- The Yolo County Probation Department contracts with </t>
    </r>
    <r>
      <rPr>
        <b/>
        <sz val="10"/>
        <color theme="1"/>
        <rFont val="Arial"/>
        <family val="2"/>
      </rPr>
      <t>Yolo Conflict Resolution Center (YCRC)</t>
    </r>
    <r>
      <rPr>
        <sz val="10"/>
        <color theme="1"/>
        <rFont val="Arial"/>
        <family val="2"/>
      </rPr>
      <t xml:space="preserve"> to provide programming aimed at diverting offenders from initial and/or continued contact with the juvenile justice system using approaches that are evidence-based, culturally relevant, trauma-informed, and developmentally appropriate.  To accomplish this the following three goals were established:  (1)  reduce number of youth entering the justice system using diversion, (2) reduce racial and ethnic disparities in Yolo County's juvenile justice system, and (3) address root causes of youth's behavior through increasing access to services.  </t>
    </r>
  </si>
  <si>
    <t>During this reporting period Yolo County experienced an increase in both in-custody booking and out-of-custody citations referred to us by law enforcement agencies.</t>
  </si>
  <si>
    <r>
      <rPr>
        <b/>
        <sz val="10"/>
        <color theme="1"/>
        <rFont val="Arial"/>
        <family val="2"/>
      </rPr>
      <t>Services and Supplies -</t>
    </r>
    <r>
      <rPr>
        <sz val="10"/>
        <color theme="1"/>
        <rFont val="Arial"/>
        <family val="2"/>
      </rPr>
      <t xml:space="preserve"> Yolo County Probation Department has a standing partnership with the Yolo County Office of Education to operate a specialized academic and career technical education pathway program at Cesar Chavez Community School in Woodland, California, also known as </t>
    </r>
    <r>
      <rPr>
        <b/>
        <sz val="10"/>
        <color theme="1"/>
        <rFont val="Arial"/>
        <family val="2"/>
      </rPr>
      <t>Yolo County Career Pathways (YCCP).</t>
    </r>
    <r>
      <rPr>
        <sz val="10"/>
        <color theme="1"/>
        <rFont val="Arial"/>
        <family val="2"/>
      </rPr>
      <t xml:space="preserve">  A component of YCCP is the issue of weekly financial stipends for youth, who meet the specific requirements of the program, which are structured to incentivize engagement and participation.  YOBG funds are used to pay these incentives. </t>
    </r>
  </si>
  <si>
    <t>The Yolo County Probation Department contracts with Yolo Conflict Resolution Center (YCRC) to provide programming aimed at diverting offenders from initial and/or continued contact with the juvenile justice system using approaches that are evidence-based, culturally relevant, trauma-informed, and developmentally appropriate. Our partnership with YCRC has yielded a significant increase in youth that participate in diversion programs resulting in the significant increase in diversion dispositions in 2023.
Probation funds a specialized academic and career technical education program called Yolo County Career Pathways (YCCP) operated by the Yolo County of Education (YCOE).  This program is operated through a community school site and is administered by the community school’s program administrators.  The “Core Program Elements” include hands-on skills training, preparation for locally relevant, living wage careers, transferable job skills, community engagement and community service, opportunities to earn certificates, career exploration in multiple fields while provide an opportunity for student voice and choice.  The program administrators provide the following: student orientation prior to students beginning the program, supervise instruction and related services, ensure program quality and safety, assume responsibility for case management and the data collection of the students enrolled, ensure incentives are in place for school attendance and are responsible for the overall safe and effective implementation of the program.  A credentialed schoolteacher and paraeducator are provided by YCOE.  
The Yolo County Probation Department continues to utilize the Juvenile Case Management Model, described in detail in prior annual reports which employs a lower average caseload to allow for family and youth engagement.  While the number of juvenile probation officers has decreased due to turnover, youth have continued to benefit from adequate supervision in alignment with the case management model and continued family engagement through Family Team Meetings.   
Since the implementation of the Family First Prevention Services Act (FFPSA), there are regulations that have prioritized in-home family placement. As a result, we focused our efforts on providing comprehensive, intensive community-based services to support families and prevent out-of-home placements. Because of these efforts, Yolo County Probation has been able to maintain 0 out-of-home placements for this reporting period.</t>
  </si>
  <si>
    <r>
      <t>The goal of intensive youth supervision is to reduce the risk of recidivism and prevent removal from the community by providing targeted community-based case management and evidence-based programming.  During the reporting period, Probation Officers used a risk/needs screening tool to identify risk and protective factors to ensure the level of supervision and services adequately matched the needs of youth.  Case planning was conducted with youth and their families which included achievement plans outlining services, supports and opportunities in which the youth live.  The target population was moderate-high risk probation youth.  In collaboration with community-based juvenile justice providers, interventions included Functional Family Therapy, Trauma-Focused</t>
    </r>
    <r>
      <rPr>
        <b/>
        <sz val="10"/>
        <color theme="1"/>
        <rFont val="Arial"/>
        <family val="2"/>
      </rPr>
      <t xml:space="preserve"> </t>
    </r>
    <r>
      <rPr>
        <sz val="10"/>
        <color theme="1"/>
        <rFont val="Arial"/>
        <family val="2"/>
      </rPr>
      <t>Cognitive Behavioral Therapy, Therapeutic Behavioral Services, Cognitive Behavioral Services, Wrap-Around Therapeutic Services and/or individual therapy.  Through this strength-based approach to case management, Probation Officers used a system of graduated</t>
    </r>
    <r>
      <rPr>
        <b/>
        <sz val="10"/>
        <color theme="1"/>
        <rFont val="Arial"/>
        <family val="2"/>
      </rPr>
      <t xml:space="preserve"> </t>
    </r>
    <r>
      <rPr>
        <sz val="10"/>
        <color theme="1"/>
        <rFont val="Arial"/>
        <family val="2"/>
      </rPr>
      <t xml:space="preserve">responses to reward compliant behavior and/or address non-compliance.  This program allowed for intensive case management and targeted treatment plans for our moderate-high risk probation youth. </t>
    </r>
    <r>
      <rPr>
        <b/>
        <sz val="10"/>
        <color theme="1"/>
        <rFont val="Arial"/>
        <family val="2"/>
      </rPr>
      <t xml:space="preserve">                                                                                   Staff by Funding Source:  </t>
    </r>
    <r>
      <rPr>
        <sz val="10"/>
        <color theme="1"/>
        <rFont val="Arial"/>
        <family val="2"/>
      </rPr>
      <t xml:space="preserve">                                                                                                                                                                                                                                                                                                                                                                                                                                                                                                    </t>
    </r>
    <r>
      <rPr>
        <b/>
        <sz val="10"/>
        <color theme="1"/>
        <rFont val="Arial"/>
        <family val="2"/>
      </rPr>
      <t>JJCPA:</t>
    </r>
    <r>
      <rPr>
        <sz val="10"/>
        <color theme="1"/>
        <rFont val="Arial"/>
        <family val="2"/>
      </rPr>
      <t xml:space="preserve"> 1.0 Supv Deputy Probation Officer; 1.0 Sr Deputy Probation Officer ; 2.0 Deputy Probation Officer  I/II; 1.0 Legal Secretary  </t>
    </r>
    <r>
      <rPr>
        <b/>
        <sz val="10"/>
        <color theme="1"/>
        <rFont val="Arial"/>
        <family val="2"/>
      </rPr>
      <t xml:space="preserve">  YOBG:</t>
    </r>
    <r>
      <rPr>
        <sz val="10"/>
        <color theme="1"/>
        <rFont val="Arial"/>
        <family val="2"/>
      </rPr>
      <t xml:space="preserve"> 3.0 Deputy Probation Officer I/II; 1.0 Probation Aide.  Mental health services were contracted out to our County Health and Human Services Agency.                                                                        </t>
    </r>
    <r>
      <rPr>
        <b/>
        <sz val="10"/>
        <color theme="1"/>
        <rFont val="Arial"/>
        <family val="2"/>
      </rPr>
      <t xml:space="preserve"> Services and Supplies:</t>
    </r>
    <r>
      <rPr>
        <sz val="10"/>
        <color theme="1"/>
        <rFont val="Arial"/>
        <family val="2"/>
      </rPr>
      <t xml:space="preserve"> Expenses also include services and supplies such as cellular phones, County IT services and minor equipment.                                                                                                                                                                          </t>
    </r>
    <r>
      <rPr>
        <b/>
        <sz val="10"/>
        <color theme="1"/>
        <rFont val="Arial"/>
        <family val="2"/>
      </rPr>
      <t>Fixed Asset/Equipment:</t>
    </r>
    <r>
      <rPr>
        <sz val="10"/>
        <color theme="1"/>
        <rFont val="Arial"/>
        <family val="2"/>
      </rPr>
      <t xml:space="preserve">  This line item was used to purchase a Sports Utility Vehicle with law enforcement accessories (caging) in order to provide the intensive probation supervision in the community.                              </t>
    </r>
    <r>
      <rPr>
        <b/>
        <sz val="10"/>
        <color theme="1"/>
        <rFont val="Arial"/>
        <family val="2"/>
      </rPr>
      <t xml:space="preserve">Administrative Overhead:  </t>
    </r>
    <r>
      <rPr>
        <sz val="10"/>
        <color theme="1"/>
        <rFont val="Arial"/>
        <family val="2"/>
      </rPr>
      <t xml:space="preserve">These amounts were charged for administrative overhead of the program.  These charges are well below the 5% maximum allowed to be charged to this line item.           </t>
    </r>
  </si>
  <si>
    <r>
      <rPr>
        <b/>
        <sz val="10"/>
        <color theme="1"/>
        <rFont val="Arial"/>
        <family val="2"/>
      </rPr>
      <t xml:space="preserve">Professional Services:  </t>
    </r>
    <r>
      <rPr>
        <sz val="10"/>
        <color theme="1"/>
        <rFont val="Arial"/>
        <family val="2"/>
      </rPr>
      <t xml:space="preserve">This line item reflects direct services provided by a mental health provider.                                                                                                                                   </t>
    </r>
    <r>
      <rPr>
        <b/>
        <sz val="10"/>
        <color theme="1"/>
        <rFont val="Arial"/>
        <family val="2"/>
      </rPr>
      <t>Community Based Organizations (CBO)</t>
    </r>
    <r>
      <rPr>
        <sz val="10"/>
        <color theme="1"/>
        <rFont val="Arial"/>
        <family val="2"/>
      </rPr>
      <t xml:space="preserve"> - Wraparound services were coordinated by our County Health and Human Services Agency and provided by </t>
    </r>
    <r>
      <rPr>
        <b/>
        <sz val="10"/>
        <color theme="1"/>
        <rFont val="Arial"/>
        <family val="2"/>
      </rPr>
      <t xml:space="preserve">CommuniCare Health Centers and Victor Community Support Service.  </t>
    </r>
    <r>
      <rPr>
        <sz val="10"/>
        <color theme="1"/>
        <rFont val="Arial"/>
        <family val="2"/>
      </rPr>
      <t>Wraparound services involve an intensive, holistic method of engaging youth with complex needs to allow them to continue to reside in their homes and remain in the community.  Wraparound services provide supports to the family to prevent out-of-home care of the youth and to manage crises and periods of need.  Wraparound services is an evidence-based intervention for the entire family, not simply the youth being served.  Additional therapeutic services were provided by service providers, i.e., psychiatric services, sex offender counseling, individual counseling, family therapy, skill building, Child-Family Team meeting facilitation.</t>
    </r>
  </si>
  <si>
    <r>
      <rPr>
        <b/>
        <sz val="10"/>
        <color theme="1"/>
        <rFont val="Arial"/>
        <family val="2"/>
      </rPr>
      <t xml:space="preserve">Salaries and Benefits -  </t>
    </r>
    <r>
      <rPr>
        <sz val="10"/>
        <color theme="1"/>
        <rFont val="Arial"/>
        <family val="2"/>
      </rPr>
      <t xml:space="preserve">These funds were used to fund a Mitigation Specialist in the Public Defender's office who works as an integral member of a multi-disciplinary legal defense team to develop mitigation strategies that influence client-centered resolution of pending criminal cases; performs difficult, complex, and sensitive professional level case management and investigative work to support Public Defenders in effectively representing clients; and cooridinates with criminal justice partners from other agencies.                                             </t>
    </r>
    <r>
      <rPr>
        <b/>
        <sz val="10"/>
        <color theme="1"/>
        <rFont val="Arial"/>
        <family val="2"/>
      </rPr>
      <t xml:space="preserve">     Community Based Organization (CBO) -</t>
    </r>
    <r>
      <rPr>
        <sz val="10"/>
        <color theme="1"/>
        <rFont val="Arial"/>
        <family val="2"/>
      </rPr>
      <t xml:space="preserve"> The Yolo County Probation Department provides mentoring services in the Juvenile Detention Facility (JDF) through a contract with Motivating Individual Leadership Public Advancement (MILPA) and through the provision of a juvenile focused social worker embedded in the District Attorney's office.  </t>
    </r>
    <r>
      <rPr>
        <b/>
        <sz val="10"/>
        <color theme="1"/>
        <rFont val="Arial"/>
        <family val="2"/>
      </rPr>
      <t>Motivating Individual Leadership Public Advancement (MILPA)</t>
    </r>
    <r>
      <rPr>
        <sz val="10"/>
        <color theme="1"/>
        <rFont val="Arial"/>
        <family val="2"/>
      </rPr>
      <t xml:space="preserve"> is a movement space designed for, and led by, formerly incarcerated and system-impacted individuals, committed to supporting next-generation infrastructure and leadership within communities, organizations and systems. The MILPA program centers on cultural healing, racial equity and love in its practices and advocacy.  MILPA conducts their groups with a motivational video, a discussion of the topic and an art project that ties it all together.              </t>
    </r>
  </si>
  <si>
    <r>
      <rPr>
        <b/>
        <sz val="10"/>
        <color theme="1"/>
        <rFont val="Arial"/>
        <family val="2"/>
      </rPr>
      <t>Services and Supplies:</t>
    </r>
    <r>
      <rPr>
        <sz val="10"/>
        <color theme="1"/>
        <rFont val="Arial"/>
        <family val="2"/>
      </rPr>
      <t xml:space="preserve"> The funds were utilized to send our staff to the following:  Ohio Youth Assessment System (OYAS) Booster training so that our staff are fully trained in evidence-based assessment.  In addition, Chief Probation Officers of California (CPOC) Annual Statewide Conference on "Strategies for Success". </t>
    </r>
  </si>
  <si>
    <t>During this reporting period we saw an increase in subsequent petitions due to an increase in youth with multiple petitions.</t>
  </si>
  <si>
    <t xml:space="preserve">During this reporting period we experienced an increase in the number of youth dispositions. Last year we noted that there were youths who had not reached a disposition regarding their diversion program. We are now capturing the dispositions of the diverted youths this reporting period. This increase in Diversions can be attributed to Yolo County Probation's policy to handle every case at the lowest level possible. </t>
  </si>
  <si>
    <r>
      <rPr>
        <b/>
        <sz val="10"/>
        <color theme="1"/>
        <rFont val="Arial"/>
        <family val="2"/>
      </rPr>
      <t xml:space="preserve">Woodland PAL </t>
    </r>
    <r>
      <rPr>
        <sz val="10"/>
        <color theme="1"/>
        <rFont val="Arial"/>
        <family val="2"/>
      </rPr>
      <t xml:space="preserve">- Yolo Probation Department contracts with </t>
    </r>
    <r>
      <rPr>
        <b/>
        <sz val="10"/>
        <color theme="1"/>
        <rFont val="Arial"/>
        <family val="2"/>
      </rPr>
      <t xml:space="preserve">Woodland Police Activities (WPAL) </t>
    </r>
    <r>
      <rPr>
        <sz val="10"/>
        <color theme="1"/>
        <rFont val="Arial"/>
        <family val="2"/>
      </rPr>
      <t xml:space="preserve">to enable them to reach out and enrich the lives of the youth living in Woodland and surrounding communities to reduce juvenile crime and delinquency by uniting law enforcement officers and community's youth.  WPAL strives to provide safe and supervised environments for recreational, athletic, social, educational, and cultural activities.                                                                                                                                                                                                                                                                                                                                                                                      </t>
    </r>
    <r>
      <rPr>
        <b/>
        <sz val="10"/>
        <color theme="1"/>
        <rFont val="Arial"/>
        <family val="2"/>
      </rPr>
      <t>YCOE</t>
    </r>
    <r>
      <rPr>
        <sz val="10"/>
        <color theme="1"/>
        <rFont val="Arial"/>
        <family val="2"/>
      </rPr>
      <t xml:space="preserve"> - The Yolo County Probation Department has a standing partnership with the</t>
    </r>
    <r>
      <rPr>
        <b/>
        <sz val="10"/>
        <color theme="1"/>
        <rFont val="Arial"/>
        <family val="2"/>
      </rPr>
      <t xml:space="preserve"> Yolo County Office of Education (YCOE) </t>
    </r>
    <r>
      <rPr>
        <sz val="10"/>
        <color theme="1"/>
        <rFont val="Arial"/>
        <family val="2"/>
      </rPr>
      <t xml:space="preserve">to operate a specialized academic and technical education pathway program at Cesar Chavez Community School known in Woodland, California, as Yolo County Career Pathways (YCCP).  These funds support a teaching assistant who updates tracking and progress reports for students; assists students with graphic design, photography, and video production projects; and generates weekly reflection reports that serve to inform education planning for enrolled students. </t>
    </r>
  </si>
  <si>
    <r>
      <rPr>
        <b/>
        <sz val="10"/>
        <color theme="1"/>
        <rFont val="Arial"/>
        <family val="2"/>
      </rPr>
      <t>Salaries and Benefits</t>
    </r>
    <r>
      <rPr>
        <sz val="10"/>
        <color theme="1"/>
        <rFont val="Arial"/>
        <family val="2"/>
      </rPr>
      <t xml:space="preserve"> - These funds were utilized on a (Detention Officer) Program Coordinator, who along with the Yolo County Detention Facility (YCJDF) strives to promote the health and well-being of the youth we serve by encouraging law-abiding behavior, teaching individual accountability for one's choices.  Program Coordinators ensure that the YCJDF youth have adequate programming to provide rehabilitative opportunities including fitness, trauma informed therapy, peer mentoring, pet therapy, life skills, literacy, bike repair and leadership development.  Program Coordinators are responsible for processing volunteer and program applications, provide orientation, schedule, update and post program calendars, review and verify the JDF's Behavior Support Program daily points, plan and schedule program holidays and events, manage, stock and distribute canteen items earned form the incentive shop, tracks youth program attendance and provide additional resources as needed.                                                                                                                                                                       </t>
    </r>
    <r>
      <rPr>
        <b/>
        <sz val="10"/>
        <color theme="1"/>
        <rFont val="Arial"/>
        <family val="2"/>
      </rPr>
      <t>Professional Services/Community Based Organizations</t>
    </r>
    <r>
      <rPr>
        <sz val="10"/>
        <color theme="1"/>
        <rFont val="Arial"/>
        <family val="2"/>
      </rPr>
      <t xml:space="preserve"> -  The Yolo County Probation Department provides transitional services for youth housed in the Juvenile Detention Facility (JDF), including services provided by the following contract providers: Pet Partners, Yolo Arts, The Beat Within.                                                                                                                                                                                                                                                                                       </t>
    </r>
    <r>
      <rPr>
        <b/>
        <sz val="10"/>
        <color theme="1"/>
        <rFont val="Arial"/>
        <family val="2"/>
      </rPr>
      <t>The Pet Partners</t>
    </r>
    <r>
      <rPr>
        <sz val="10"/>
        <color theme="1"/>
        <rFont val="Arial"/>
        <family val="2"/>
      </rPr>
      <t xml:space="preserve"> program's mission is to improve human health and well-being through the human-animal bond.  This therapy animal program is used to increase self-esteem, enhance the ability for oneself, reduce anxiety, grief and isolation and improve social skills, trust and empathy.  Youth interact with a variety of species including dogs, rabbits, pigs, horses, llamas, birds and reptiles.                                                                                                                                                                                                                                                       </t>
    </r>
    <r>
      <rPr>
        <b/>
        <sz val="10"/>
        <color theme="1"/>
        <rFont val="Arial"/>
        <family val="2"/>
      </rPr>
      <t>The Yolo Arts Council</t>
    </r>
    <r>
      <rPr>
        <sz val="10"/>
        <color theme="1"/>
        <rFont val="Arial"/>
        <family val="2"/>
      </rPr>
      <t xml:space="preserve"> is an expressive art program that provides youth with a creative and therapeutic channel to a non-threatening, yet direct form of emotional expression through the medium of art.  This program incorporates learning, drawing and painting utilizing various media, as well as poetry, and the creation of murals to enable the expression of deeply seeded emotions.  Additionally, the group provides youth with the opportunity to view problems from a new perspective, to externalize difficult or painful experiences that are often hard to express through verbal expression.  The goal of this program is to serve as a skill-building activity that serves as a coping technique, encouraging creativity, promoting self-expression and serving as a socialization group that stimulates positive interactions with peers, promotes universality and may provide catharsis for participants.                                                                                                                                                       </t>
    </r>
    <r>
      <rPr>
        <b/>
        <sz val="10"/>
        <color theme="1"/>
        <rFont val="Arial"/>
        <family val="2"/>
      </rPr>
      <t>The Beat Within</t>
    </r>
    <r>
      <rPr>
        <sz val="10"/>
        <color theme="1"/>
        <rFont val="Arial"/>
        <family val="2"/>
      </rPr>
      <t xml:space="preserve"> provides youth with an opportunity to share their ideas and life experiences in a safe space that encourages literacy, self-expression, some critical thinking skills and healthy, supportive relationships with adults and their community.  Youth reflect on the different topics presented by The Beat Within and express themselves by writing and drawing.  Their writings and/or drawings are published and distributed monthly for youth to read and see the material submitted from other youth in other detention facilities.  Youth also have the opportunity to have their written responses to different writing prompts read by the Editor of The Beat Within.  </t>
    </r>
  </si>
  <si>
    <r>
      <t>Referrals of Juveniles to Probation Departments for Delinquent Acts, January 1 - December 31, 202</t>
    </r>
    <r>
      <rPr>
        <b/>
        <sz val="10"/>
        <color theme="0"/>
        <rFont val="Arial"/>
        <family val="2"/>
      </rPr>
      <t>3</t>
    </r>
    <r>
      <rPr>
        <b/>
        <sz val="10"/>
        <color rgb="FFFFFFFF"/>
        <rFont val="Arial"/>
        <family val="2"/>
      </rPr>
      <t xml:space="preserve">
Age by Referral Type, Gender, Race/Ethnic Group, Referral Source, Detention, Prosecutor Action, and Probation Department Disposition Report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</si>
</sst>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60">
    <font>
      <sz val="10"/>
      <color rgb="FF000000"/>
      <name val="Arial"/>
      <scheme val="minor"/>
    </font>
    <font>
      <sz val="10"/>
      <color theme="1"/>
      <name val="Arial"/>
      <family val="2"/>
    </font>
    <font>
      <sz val="10"/>
      <name val="Arial"/>
      <family val="2"/>
    </font>
    <font>
      <sz val="12"/>
      <color rgb="FFFFFFFF"/>
      <name val="Arial"/>
      <family val="2"/>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amily val="2"/>
    </font>
    <font>
      <b/>
      <i/>
      <sz val="12"/>
      <color theme="1"/>
      <name val="Arial"/>
      <family val="2"/>
    </font>
    <font>
      <b/>
      <i/>
      <sz val="11"/>
      <color theme="0"/>
      <name val="Arial"/>
      <family val="2"/>
    </font>
    <font>
      <b/>
      <sz val="10"/>
      <color rgb="FFFFFFFF"/>
      <name val="Arial"/>
      <family val="2"/>
    </font>
    <font>
      <b/>
      <sz val="11"/>
      <color rgb="FFFFFFFF"/>
      <name val="Arial"/>
      <family val="2"/>
    </font>
    <font>
      <u/>
      <sz val="11"/>
      <color rgb="FFFFFFFF"/>
      <name val="Arial"/>
      <family val="2"/>
    </font>
    <font>
      <b/>
      <u/>
      <sz val="11"/>
      <color theme="1"/>
      <name val="Calibri"/>
      <family val="2"/>
    </font>
    <font>
      <b/>
      <u/>
      <sz val="11"/>
      <color rgb="FF002060"/>
      <name val="Arial"/>
      <family val="2"/>
    </font>
    <font>
      <b/>
      <u/>
      <sz val="11"/>
      <color theme="1"/>
      <name val="Arial"/>
      <family val="2"/>
    </font>
    <font>
      <sz val="11"/>
      <color theme="1"/>
      <name val="Calibri"/>
      <family val="2"/>
    </font>
    <font>
      <sz val="11"/>
      <color theme="1"/>
      <name val="Arial"/>
      <family val="2"/>
    </font>
    <font>
      <b/>
      <sz val="11"/>
      <color theme="1"/>
      <name val="Calibri"/>
      <family val="2"/>
    </font>
    <font>
      <b/>
      <sz val="10"/>
      <color theme="1"/>
      <name val="Arial"/>
      <family val="2"/>
    </font>
    <font>
      <b/>
      <u/>
      <sz val="11"/>
      <color theme="1"/>
      <name val="Arial"/>
      <family val="2"/>
    </font>
    <font>
      <i/>
      <sz val="10"/>
      <color theme="1"/>
      <name val="Arial"/>
      <family val="2"/>
    </font>
    <font>
      <b/>
      <i/>
      <sz val="10"/>
      <color theme="1"/>
      <name val="Arial"/>
      <family val="2"/>
    </font>
    <font>
      <sz val="11"/>
      <color rgb="FF92D050"/>
      <name val="Calibri"/>
      <family val="2"/>
    </font>
    <font>
      <b/>
      <u/>
      <sz val="11"/>
      <color theme="1"/>
      <name val="Calibri"/>
      <family val="2"/>
    </font>
    <font>
      <b/>
      <sz val="11"/>
      <color theme="1"/>
      <name val="Arial"/>
      <family val="2"/>
    </font>
    <font>
      <b/>
      <u/>
      <sz val="11"/>
      <color theme="1"/>
      <name val="Arial"/>
      <family val="2"/>
    </font>
    <font>
      <b/>
      <u/>
      <sz val="11"/>
      <color rgb="FF002060"/>
      <name val="Arial"/>
      <family val="2"/>
    </font>
    <font>
      <b/>
      <u/>
      <sz val="11"/>
      <color rgb="FF002060"/>
      <name val="Arial"/>
      <family val="2"/>
    </font>
    <font>
      <b/>
      <sz val="9"/>
      <color theme="1"/>
      <name val="Arial"/>
      <family val="2"/>
    </font>
    <font>
      <b/>
      <i/>
      <sz val="11"/>
      <color theme="1"/>
      <name val="Arial"/>
      <family val="2"/>
    </font>
    <font>
      <u/>
      <sz val="10"/>
      <color rgb="FF0000FF"/>
      <name val="Arial"/>
      <family val="2"/>
    </font>
    <font>
      <b/>
      <sz val="11"/>
      <color rgb="FFDAEEF3"/>
      <name val="Arial"/>
      <family val="2"/>
    </font>
    <font>
      <b/>
      <u/>
      <sz val="11"/>
      <color theme="1"/>
      <name val="Arial"/>
      <family val="2"/>
    </font>
    <font>
      <b/>
      <u/>
      <sz val="11"/>
      <color theme="1"/>
      <name val="Arial"/>
      <family val="2"/>
    </font>
    <font>
      <b/>
      <sz val="8"/>
      <color theme="1"/>
      <name val="Arial"/>
      <family val="2"/>
    </font>
    <font>
      <sz val="8"/>
      <color theme="1"/>
      <name val="Arial"/>
      <family val="2"/>
    </font>
    <font>
      <b/>
      <i/>
      <sz val="20"/>
      <color theme="1"/>
      <name val="Arial"/>
      <family val="2"/>
    </font>
    <font>
      <b/>
      <sz val="20"/>
      <color theme="1"/>
      <name val="Arial"/>
      <family val="2"/>
    </font>
    <font>
      <b/>
      <u/>
      <sz val="11"/>
      <color theme="1"/>
      <name val="Arial"/>
      <family val="2"/>
    </font>
    <font>
      <b/>
      <sz val="11"/>
      <color rgb="FFFF0000"/>
      <name val="Arial"/>
      <family val="2"/>
    </font>
    <font>
      <sz val="9"/>
      <color theme="1"/>
      <name val="Arial"/>
      <family val="2"/>
    </font>
    <font>
      <sz val="10"/>
      <color theme="1"/>
      <name val="Arial"/>
      <family val="2"/>
      <scheme val="minor"/>
    </font>
    <font>
      <i/>
      <sz val="12"/>
      <color rgb="FFFFFFFF"/>
      <name val="Figtree"/>
    </font>
    <font>
      <b/>
      <sz val="9"/>
      <color rgb="FFFFFFFF"/>
      <name val="Arial"/>
      <family val="2"/>
    </font>
    <font>
      <b/>
      <sz val="14"/>
      <color rgb="FFFFFFFF"/>
      <name val="Arial"/>
      <family val="2"/>
    </font>
    <font>
      <b/>
      <sz val="11"/>
      <color theme="0"/>
      <name val="Arial"/>
      <family val="2"/>
    </font>
    <font>
      <b/>
      <sz val="14"/>
      <color theme="0"/>
      <name val="Arial"/>
      <family val="2"/>
    </font>
    <font>
      <sz val="10"/>
      <color rgb="FFFF0000"/>
      <name val="Figtree"/>
    </font>
    <font>
      <b/>
      <sz val="10"/>
      <color rgb="FFFFFFFF"/>
      <name val="Arial"/>
      <family val="2"/>
    </font>
    <font>
      <sz val="10"/>
      <name val="Figtree"/>
    </font>
    <font>
      <b/>
      <i/>
      <sz val="11"/>
      <color theme="0"/>
      <name val="Arial"/>
      <family val="2"/>
    </font>
    <font>
      <u/>
      <sz val="10"/>
      <color theme="10"/>
      <name val="Arial"/>
      <family val="2"/>
      <scheme val="minor"/>
    </font>
    <font>
      <sz val="10"/>
      <color theme="1"/>
      <name val="Arial"/>
      <family val="2"/>
    </font>
    <font>
      <b/>
      <sz val="10"/>
      <color indexed="9"/>
      <name val="Arial"/>
      <family val="2"/>
    </font>
    <font>
      <sz val="10"/>
      <color rgb="FF000000"/>
      <name val="Arial"/>
      <family val="2"/>
      <scheme val="minor"/>
    </font>
    <font>
      <b/>
      <sz val="10"/>
      <color theme="0"/>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55" fillId="0" borderId="0" applyNumberFormat="0" applyFill="0" applyBorder="0" applyAlignment="0" applyProtection="0"/>
    <xf numFmtId="0" fontId="58" fillId="0" borderId="40"/>
    <xf numFmtId="0" fontId="55" fillId="0" borderId="40" applyNumberFormat="0" applyFill="0" applyBorder="0" applyAlignment="0" applyProtection="0"/>
  </cellStyleXfs>
  <cellXfs count="312">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4" xfId="0" applyFont="1" applyFill="1" applyBorder="1"/>
    <xf numFmtId="0" fontId="1" fillId="2" borderId="6" xfId="0" applyFont="1" applyFill="1" applyBorder="1"/>
    <xf numFmtId="0" fontId="5" fillId="3" borderId="7" xfId="0" applyFont="1" applyFill="1" applyBorder="1" applyAlignment="1">
      <alignment horizontal="left"/>
    </xf>
    <xf numFmtId="0" fontId="5" fillId="3" borderId="7" xfId="0" applyFont="1" applyFill="1" applyBorder="1"/>
    <xf numFmtId="0" fontId="5" fillId="3" borderId="6" xfId="0" applyFont="1" applyFill="1" applyBorder="1"/>
    <xf numFmtId="0" fontId="6" fillId="3" borderId="7" xfId="0" applyFont="1" applyFill="1" applyBorder="1" applyAlignment="1">
      <alignment horizontal="left"/>
    </xf>
    <xf numFmtId="0" fontId="6" fillId="3" borderId="6" xfId="0" applyFont="1" applyFill="1" applyBorder="1" applyAlignment="1">
      <alignment horizontal="left"/>
    </xf>
    <xf numFmtId="0" fontId="1" fillId="2" borderId="9" xfId="0" applyFont="1" applyFill="1" applyBorder="1" applyAlignment="1">
      <alignment horizontal="left"/>
    </xf>
    <xf numFmtId="0" fontId="1" fillId="3" borderId="10" xfId="0" applyFont="1" applyFill="1" applyBorder="1" applyAlignment="1">
      <alignment horizontal="left"/>
    </xf>
    <xf numFmtId="0" fontId="1" fillId="3" borderId="9" xfId="0" applyFont="1" applyFill="1" applyBorder="1" applyAlignment="1">
      <alignment horizontal="left"/>
    </xf>
    <xf numFmtId="0" fontId="1" fillId="0" borderId="5"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6" fillId="0" borderId="5" xfId="0" applyFont="1" applyBorder="1" applyAlignment="1">
      <alignment vertical="top" wrapText="1"/>
    </xf>
    <xf numFmtId="0" fontId="6" fillId="0" borderId="0" xfId="0" applyFont="1" applyAlignment="1">
      <alignment vertical="top" wrapText="1"/>
    </xf>
    <xf numFmtId="0" fontId="6" fillId="0" borderId="11" xfId="0" applyFont="1" applyBorder="1" applyAlignment="1">
      <alignment vertical="top" wrapText="1"/>
    </xf>
    <xf numFmtId="0" fontId="8" fillId="3" borderId="12" xfId="0" applyFont="1" applyFill="1" applyBorder="1"/>
    <xf numFmtId="0" fontId="8" fillId="3" borderId="13" xfId="0" applyFont="1" applyFill="1" applyBorder="1"/>
    <xf numFmtId="0" fontId="8" fillId="3" borderId="14" xfId="0" applyFont="1" applyFill="1" applyBorder="1"/>
    <xf numFmtId="0" fontId="1" fillId="0" borderId="0" xfId="0" applyFont="1" applyAlignment="1">
      <alignment horizontal="left" vertical="center"/>
    </xf>
    <xf numFmtId="0" fontId="8" fillId="0" borderId="5"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8"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6" fillId="0" borderId="5"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1" xfId="0" applyFont="1" applyBorder="1"/>
    <xf numFmtId="0" fontId="1" fillId="0" borderId="5"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1"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5" xfId="0" applyFont="1" applyBorder="1" applyAlignment="1">
      <alignment vertical="center"/>
    </xf>
    <xf numFmtId="41" fontId="1" fillId="0" borderId="0" xfId="0" applyNumberFormat="1" applyFont="1" applyAlignment="1">
      <alignment vertical="center"/>
    </xf>
    <xf numFmtId="41" fontId="1" fillId="0" borderId="11"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1" xfId="0" applyNumberFormat="1" applyFont="1" applyBorder="1"/>
    <xf numFmtId="0" fontId="21" fillId="0" borderId="0" xfId="0" applyFont="1"/>
    <xf numFmtId="0" fontId="1" fillId="0" borderId="8" xfId="0" applyFont="1" applyBorder="1"/>
    <xf numFmtId="0" fontId="21" fillId="0" borderId="21" xfId="0" applyFont="1" applyBorder="1"/>
    <xf numFmtId="0" fontId="1" fillId="0" borderId="21" xfId="0" applyFont="1" applyBorder="1"/>
    <xf numFmtId="43" fontId="1" fillId="0" borderId="21" xfId="0" applyNumberFormat="1" applyFont="1" applyBorder="1"/>
    <xf numFmtId="43" fontId="1" fillId="0" borderId="22"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1" xfId="0" applyFont="1" applyBorder="1" applyAlignment="1">
      <alignment horizontal="center" wrapText="1"/>
    </xf>
    <xf numFmtId="0" fontId="27" fillId="0" borderId="5" xfId="0" applyFont="1" applyBorder="1"/>
    <xf numFmtId="41" fontId="1" fillId="0" borderId="0" xfId="0" applyNumberFormat="1" applyFont="1" applyAlignment="1">
      <alignment horizontal="center"/>
    </xf>
    <xf numFmtId="41" fontId="1" fillId="0" borderId="11"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1" xfId="0" applyNumberFormat="1" applyFont="1" applyBorder="1" applyAlignment="1">
      <alignment horizontal="center"/>
    </xf>
    <xf numFmtId="41" fontId="1" fillId="0" borderId="22"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1"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1" xfId="0" applyFont="1" applyBorder="1" applyAlignment="1">
      <alignment horizontal="left" vertical="top"/>
    </xf>
    <xf numFmtId="0" fontId="11" fillId="0" borderId="0" xfId="0" applyFont="1"/>
    <xf numFmtId="0" fontId="14" fillId="0" borderId="5" xfId="0" applyFont="1" applyBorder="1" applyAlignment="1">
      <alignment horizontal="center"/>
    </xf>
    <xf numFmtId="0" fontId="14" fillId="0" borderId="0" xfId="0" applyFont="1" applyAlignment="1">
      <alignment horizontal="center"/>
    </xf>
    <xf numFmtId="0" fontId="14" fillId="0" borderId="11" xfId="0" applyFont="1" applyBorder="1" applyAlignment="1">
      <alignment horizontal="center"/>
    </xf>
    <xf numFmtId="0" fontId="1" fillId="0" borderId="33" xfId="0" applyFont="1" applyBorder="1"/>
    <xf numFmtId="0" fontId="38" fillId="0" borderId="33" xfId="0" applyFont="1" applyBorder="1" applyAlignment="1">
      <alignment horizontal="center"/>
    </xf>
    <xf numFmtId="0" fontId="38" fillId="0" borderId="33"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0" fontId="1" fillId="0" borderId="21" xfId="0" applyFont="1" applyBorder="1" applyAlignment="1">
      <alignment horizontal="center" vertical="center"/>
    </xf>
    <xf numFmtId="0" fontId="1" fillId="0" borderId="16" xfId="0" applyFont="1" applyBorder="1" applyAlignment="1">
      <alignment horizontal="left" vertical="top" wrapText="1"/>
    </xf>
    <xf numFmtId="0" fontId="1" fillId="0" borderId="8" xfId="0" applyFont="1" applyBorder="1" applyAlignment="1">
      <alignment horizontal="center" vertical="center"/>
    </xf>
    <xf numFmtId="0" fontId="41" fillId="0" borderId="0" xfId="0" applyFont="1"/>
    <xf numFmtId="0" fontId="22" fillId="11" borderId="41" xfId="0" applyFont="1" applyFill="1" applyBorder="1" applyAlignment="1">
      <alignment horizontal="center" vertical="center"/>
    </xf>
    <xf numFmtId="41" fontId="22" fillId="11" borderId="41" xfId="0" applyNumberFormat="1" applyFont="1" applyFill="1" applyBorder="1"/>
    <xf numFmtId="0" fontId="20" fillId="0" borderId="0" xfId="0" applyFont="1"/>
    <xf numFmtId="0" fontId="28" fillId="11" borderId="41" xfId="0" applyFont="1" applyFill="1" applyBorder="1" applyAlignment="1">
      <alignment horizontal="center" vertical="center"/>
    </xf>
    <xf numFmtId="0" fontId="1" fillId="10" borderId="7" xfId="0" applyFont="1" applyFill="1" applyBorder="1"/>
    <xf numFmtId="0" fontId="1" fillId="12" borderId="41" xfId="0" applyFont="1" applyFill="1" applyBorder="1"/>
    <xf numFmtId="0" fontId="1" fillId="0" borderId="41" xfId="0" applyFont="1" applyBorder="1"/>
    <xf numFmtId="0" fontId="1" fillId="12" borderId="42" xfId="0" applyFont="1" applyFill="1" applyBorder="1"/>
    <xf numFmtId="0" fontId="1" fillId="12" borderId="43" xfId="0" applyFont="1" applyFill="1" applyBorder="1"/>
    <xf numFmtId="0" fontId="1" fillId="0" borderId="41" xfId="0" applyFont="1" applyBorder="1" applyAlignment="1">
      <alignment horizontal="center"/>
    </xf>
    <xf numFmtId="0" fontId="1" fillId="12" borderId="4" xfId="0" applyFont="1" applyFill="1" applyBorder="1"/>
    <xf numFmtId="0" fontId="1" fillId="12" borderId="42" xfId="0" applyFont="1" applyFill="1" applyBorder="1" applyAlignment="1">
      <alignment horizontal="left"/>
    </xf>
    <xf numFmtId="0" fontId="1" fillId="12" borderId="43" xfId="0" applyFont="1" applyFill="1" applyBorder="1" applyAlignment="1">
      <alignment horizontal="left"/>
    </xf>
    <xf numFmtId="0" fontId="1" fillId="12" borderId="4" xfId="0" applyFont="1" applyFill="1" applyBorder="1" applyAlignment="1">
      <alignment horizontal="left"/>
    </xf>
    <xf numFmtId="0" fontId="44" fillId="12" borderId="43" xfId="0" applyFont="1" applyFill="1" applyBorder="1"/>
    <xf numFmtId="0" fontId="44" fillId="0" borderId="41" xfId="0" applyFont="1" applyBorder="1" applyAlignment="1">
      <alignment horizontal="center"/>
    </xf>
    <xf numFmtId="0" fontId="1" fillId="12" borderId="44" xfId="0" applyFont="1" applyFill="1" applyBorder="1"/>
    <xf numFmtId="0" fontId="1" fillId="12" borderId="7" xfId="0" applyFont="1" applyFill="1" applyBorder="1"/>
    <xf numFmtId="0" fontId="1" fillId="0" borderId="45" xfId="0" applyFont="1" applyBorder="1" applyAlignment="1">
      <alignment horizontal="center"/>
    </xf>
    <xf numFmtId="0" fontId="1" fillId="12" borderId="6"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8" fillId="3" borderId="18" xfId="0" applyFont="1" applyFill="1" applyBorder="1" applyAlignment="1">
      <alignment horizontal="left"/>
    </xf>
    <xf numFmtId="0" fontId="2" fillId="0" borderId="19" xfId="0" applyFont="1" applyBorder="1"/>
    <xf numFmtId="0" fontId="2" fillId="0" borderId="20" xfId="0" applyFont="1" applyBorder="1"/>
    <xf numFmtId="0" fontId="9" fillId="4" borderId="18" xfId="0" applyFont="1" applyFill="1" applyBorder="1" applyAlignment="1">
      <alignment horizontal="left" vertical="center"/>
    </xf>
    <xf numFmtId="0" fontId="2" fillId="0" borderId="26" xfId="0" applyFont="1" applyBorder="1"/>
    <xf numFmtId="0" fontId="6" fillId="0" borderId="5" xfId="0" applyFont="1" applyBorder="1" applyAlignment="1">
      <alignment horizontal="left" vertical="top" wrapText="1"/>
    </xf>
    <xf numFmtId="0" fontId="0" fillId="0" borderId="0" xfId="0"/>
    <xf numFmtId="0" fontId="2" fillId="0" borderId="11" xfId="0" applyFont="1" applyBorder="1"/>
    <xf numFmtId="0" fontId="2" fillId="0" borderId="5" xfId="0" applyFont="1" applyBorder="1"/>
    <xf numFmtId="0" fontId="1" fillId="0" borderId="0" xfId="0" applyFont="1" applyAlignment="1">
      <alignment horizontal="left" vertical="top" wrapText="1"/>
    </xf>
    <xf numFmtId="49" fontId="6" fillId="0" borderId="5" xfId="0" applyNumberFormat="1" applyFont="1" applyBorder="1" applyAlignment="1">
      <alignment horizontal="left"/>
    </xf>
    <xf numFmtId="0" fontId="9" fillId="4" borderId="27" xfId="0" applyFont="1" applyFill="1" applyBorder="1" applyAlignment="1">
      <alignment horizontal="left" vertical="center"/>
    </xf>
    <xf numFmtId="0" fontId="6" fillId="0" borderId="8" xfId="0" applyFont="1" applyBorder="1" applyAlignment="1">
      <alignment horizontal="left"/>
    </xf>
    <xf numFmtId="0" fontId="2" fillId="0" borderId="21" xfId="0" applyFont="1" applyBorder="1"/>
    <xf numFmtId="0" fontId="2" fillId="0" borderId="22" xfId="0" applyFont="1" applyBorder="1"/>
    <xf numFmtId="0" fontId="55" fillId="0" borderId="21" xfId="1" applyBorder="1" applyAlignment="1">
      <alignment horizontal="left"/>
    </xf>
    <xf numFmtId="0" fontId="8" fillId="3" borderId="23" xfId="0" applyFont="1" applyFill="1" applyBorder="1" applyAlignment="1">
      <alignment horizontal="left"/>
    </xf>
    <xf numFmtId="0" fontId="2" fillId="0" borderId="24" xfId="0" applyFont="1" applyBorder="1"/>
    <xf numFmtId="0" fontId="2" fillId="0" borderId="25" xfId="0" applyFont="1" applyBorder="1"/>
    <xf numFmtId="0" fontId="1" fillId="0" borderId="0" xfId="0" applyFont="1" applyAlignment="1">
      <alignment horizontal="left"/>
    </xf>
    <xf numFmtId="0" fontId="9" fillId="4" borderId="23" xfId="0" applyFont="1" applyFill="1" applyBorder="1" applyAlignment="1">
      <alignment horizontal="left" vertical="top"/>
    </xf>
    <xf numFmtId="0" fontId="55" fillId="0" borderId="8" xfId="1" applyBorder="1" applyAlignment="1">
      <alignment horizontal="left"/>
    </xf>
    <xf numFmtId="0" fontId="9" fillId="4" borderId="15" xfId="0" applyFont="1" applyFill="1" applyBorder="1" applyAlignment="1">
      <alignment horizontal="left" vertical="center"/>
    </xf>
    <xf numFmtId="0" fontId="2" fillId="0" borderId="16" xfId="0" applyFont="1" applyBorder="1"/>
    <xf numFmtId="0" fontId="2" fillId="0" borderId="17" xfId="0" applyFont="1" applyBorder="1"/>
    <xf numFmtId="0" fontId="6" fillId="0" borderId="15" xfId="0" applyFont="1" applyBorder="1" applyAlignment="1">
      <alignment horizontal="left" vertical="center"/>
    </xf>
    <xf numFmtId="0" fontId="2" fillId="0" borderId="8" xfId="0" applyFont="1" applyBorder="1"/>
    <xf numFmtId="0" fontId="2" fillId="0" borderId="2" xfId="0" applyFont="1" applyBorder="1"/>
    <xf numFmtId="0" fontId="2" fillId="0" borderId="3" xfId="0" applyFont="1" applyBorder="1"/>
    <xf numFmtId="0" fontId="6" fillId="0" borderId="5" xfId="0" applyFont="1" applyBorder="1" applyAlignment="1">
      <alignment horizontal="left" vertical="center" wrapText="1"/>
    </xf>
    <xf numFmtId="0" fontId="7" fillId="0" borderId="5" xfId="0" applyFont="1" applyBorder="1" applyAlignment="1">
      <alignment horizontal="left" vertical="top" wrapText="1"/>
    </xf>
    <xf numFmtId="14" fontId="6" fillId="0" borderId="15" xfId="0" applyNumberFormat="1" applyFont="1" applyBorder="1" applyAlignment="1">
      <alignment horizontal="left" vertical="center"/>
    </xf>
    <xf numFmtId="41" fontId="1" fillId="6" borderId="15" xfId="0" applyNumberFormat="1" applyFont="1" applyFill="1" applyBorder="1" applyAlignment="1">
      <alignment horizont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0" fillId="6" borderId="15" xfId="0" applyFont="1" applyFill="1" applyBorder="1" applyAlignment="1">
      <alignment horizontal="left"/>
    </xf>
    <xf numFmtId="0" fontId="20" fillId="0" borderId="15" xfId="0" applyFont="1" applyBorder="1" applyAlignment="1">
      <alignment horizontal="left"/>
    </xf>
    <xf numFmtId="41" fontId="1" fillId="0" borderId="15" xfId="0" applyNumberFormat="1" applyFont="1" applyBorder="1" applyAlignment="1">
      <alignment horizontal="center"/>
    </xf>
    <xf numFmtId="0" fontId="21" fillId="7" borderId="15" xfId="0" applyFont="1" applyFill="1" applyBorder="1" applyAlignment="1">
      <alignment horizontal="right"/>
    </xf>
    <xf numFmtId="41" fontId="22" fillId="7" borderId="15" xfId="0" applyNumberFormat="1" applyFont="1" applyFill="1" applyBorder="1" applyAlignment="1">
      <alignment horizontal="center"/>
    </xf>
    <xf numFmtId="41" fontId="1" fillId="0" borderId="15" xfId="0" applyNumberFormat="1" applyFont="1" applyBorder="1" applyAlignment="1">
      <alignment horizontal="center" vertical="center"/>
    </xf>
    <xf numFmtId="0" fontId="17" fillId="0" borderId="0" xfId="0" applyFont="1" applyAlignment="1">
      <alignment horizontal="left" vertical="top"/>
    </xf>
    <xf numFmtId="0" fontId="10" fillId="5" borderId="15" xfId="0" applyFont="1" applyFill="1" applyBorder="1" applyAlignment="1">
      <alignment horizontal="right" vertical="center"/>
    </xf>
    <xf numFmtId="0" fontId="2" fillId="0" borderId="28" xfId="0" applyFont="1" applyBorder="1"/>
    <xf numFmtId="0" fontId="11" fillId="5" borderId="29" xfId="0" applyFont="1" applyFill="1" applyBorder="1" applyAlignment="1">
      <alignment horizontal="center" vertical="center"/>
    </xf>
    <xf numFmtId="0" fontId="12" fillId="3" borderId="18" xfId="0" applyFont="1" applyFill="1" applyBorder="1" applyAlignment="1">
      <alignment horizontal="center" vertical="center" wrapText="1"/>
    </xf>
    <xf numFmtId="0" fontId="15" fillId="0" borderId="0" xfId="0" applyFont="1" applyAlignment="1">
      <alignment horizontal="center" vertical="top" wrapText="1"/>
    </xf>
    <xf numFmtId="0" fontId="1" fillId="0" borderId="15" xfId="0" applyFont="1" applyBorder="1" applyAlignment="1">
      <alignment horizontal="left" vertical="center"/>
    </xf>
    <xf numFmtId="0" fontId="21" fillId="7" borderId="15" xfId="0" applyFont="1" applyFill="1" applyBorder="1" applyAlignment="1">
      <alignment horizontal="right" vertical="center"/>
    </xf>
    <xf numFmtId="41" fontId="21" fillId="7" borderId="15" xfId="0" applyNumberFormat="1" applyFont="1" applyFill="1" applyBorder="1" applyAlignment="1">
      <alignment horizontal="center" vertical="center"/>
    </xf>
    <xf numFmtId="0" fontId="31" fillId="0" borderId="0" xfId="0" applyFont="1" applyAlignment="1">
      <alignment horizontal="left"/>
    </xf>
    <xf numFmtId="0" fontId="1" fillId="6" borderId="15" xfId="0" applyFont="1" applyFill="1" applyBorder="1" applyAlignment="1">
      <alignment horizontal="left"/>
    </xf>
    <xf numFmtId="0" fontId="1" fillId="6" borderId="15" xfId="0" applyFont="1" applyFill="1" applyBorder="1" applyAlignment="1">
      <alignment horizontal="left" vertical="center"/>
    </xf>
    <xf numFmtId="41" fontId="1" fillId="6" borderId="15" xfId="0" applyNumberFormat="1" applyFont="1" applyFill="1" applyBorder="1" applyAlignment="1">
      <alignment horizontal="center" vertical="center"/>
    </xf>
    <xf numFmtId="0" fontId="1" fillId="0" borderId="15" xfId="0" applyFont="1" applyBorder="1" applyAlignment="1">
      <alignment horizontal="left"/>
    </xf>
    <xf numFmtId="0" fontId="22" fillId="7" borderId="15" xfId="0" applyFont="1" applyFill="1" applyBorder="1" applyAlignment="1">
      <alignment horizontal="right"/>
    </xf>
    <xf numFmtId="0" fontId="30" fillId="0" borderId="0" xfId="0" applyFont="1" applyAlignment="1">
      <alignment horizontal="left" vertical="center"/>
    </xf>
    <xf numFmtId="0" fontId="29" fillId="0" borderId="0" xfId="0" applyFont="1" applyAlignment="1">
      <alignment horizontal="left" vertical="center"/>
    </xf>
    <xf numFmtId="0" fontId="20" fillId="6" borderId="15" xfId="0" applyFont="1" applyFill="1" applyBorder="1" applyAlignment="1">
      <alignment horizontal="left" vertical="top"/>
    </xf>
    <xf numFmtId="41" fontId="20" fillId="6" borderId="15" xfId="0" applyNumberFormat="1" applyFont="1" applyFill="1" applyBorder="1" applyAlignment="1">
      <alignment horizontal="center" vertical="top"/>
    </xf>
    <xf numFmtId="0" fontId="20" fillId="0" borderId="15" xfId="0" applyFont="1" applyBorder="1" applyAlignment="1">
      <alignment horizontal="left" vertical="top"/>
    </xf>
    <xf numFmtId="41" fontId="20" fillId="0" borderId="15" xfId="0" applyNumberFormat="1" applyFont="1" applyBorder="1" applyAlignment="1">
      <alignment horizontal="center" vertical="top"/>
    </xf>
    <xf numFmtId="0" fontId="28" fillId="7" borderId="15" xfId="0" applyFont="1" applyFill="1" applyBorder="1" applyAlignment="1">
      <alignment horizontal="right" vertical="top"/>
    </xf>
    <xf numFmtId="41" fontId="28" fillId="7" borderId="15" xfId="0" applyNumberFormat="1" applyFont="1" applyFill="1" applyBorder="1" applyAlignment="1">
      <alignment horizontal="center" vertical="center"/>
    </xf>
    <xf numFmtId="0" fontId="10" fillId="5" borderId="15" xfId="0" applyFont="1" applyFill="1" applyBorder="1" applyAlignment="1">
      <alignment horizontal="right"/>
    </xf>
    <xf numFmtId="0" fontId="11" fillId="5" borderId="29" xfId="0" applyFont="1" applyFill="1" applyBorder="1" applyAlignment="1">
      <alignment horizontal="center"/>
    </xf>
    <xf numFmtId="0" fontId="12" fillId="3" borderId="18" xfId="0" applyFont="1" applyFill="1" applyBorder="1" applyAlignment="1">
      <alignment horizontal="center" vertical="center"/>
    </xf>
    <xf numFmtId="0" fontId="52" fillId="3" borderId="23" xfId="0" applyFont="1" applyFill="1" applyBorder="1" applyAlignment="1">
      <alignment horizontal="center" vertical="top" wrapText="1"/>
    </xf>
    <xf numFmtId="0" fontId="23" fillId="0" borderId="0" xfId="0" applyFont="1" applyAlignment="1">
      <alignment horizontal="left" vertical="top"/>
    </xf>
    <xf numFmtId="0" fontId="22" fillId="0" borderId="0" xfId="0" applyFont="1" applyAlignment="1">
      <alignment horizontal="left" wrapText="1"/>
    </xf>
    <xf numFmtId="49" fontId="20" fillId="6" borderId="15" xfId="0" applyNumberFormat="1" applyFont="1" applyFill="1" applyBorder="1" applyAlignment="1">
      <alignment horizontal="left" vertical="top"/>
    </xf>
    <xf numFmtId="0" fontId="18" fillId="0" borderId="0" xfId="0" applyFont="1" applyAlignment="1">
      <alignment horizontal="center" vertical="center"/>
    </xf>
    <xf numFmtId="49" fontId="20" fillId="0" borderId="15" xfId="0" applyNumberFormat="1" applyFont="1" applyBorder="1" applyAlignment="1">
      <alignment horizontal="left" vertical="top"/>
    </xf>
    <xf numFmtId="0" fontId="10" fillId="5" borderId="15" xfId="0" applyFont="1" applyFill="1" applyBorder="1" applyAlignment="1">
      <alignment horizontal="center" vertical="center"/>
    </xf>
    <xf numFmtId="0" fontId="54" fillId="3" borderId="18" xfId="0" applyFont="1" applyFill="1" applyBorder="1" applyAlignment="1">
      <alignment horizontal="center" vertical="center"/>
    </xf>
    <xf numFmtId="0" fontId="12" fillId="3" borderId="23" xfId="0" applyFont="1" applyFill="1" applyBorder="1" applyAlignment="1">
      <alignment horizontal="center" vertical="center"/>
    </xf>
    <xf numFmtId="0" fontId="34" fillId="2" borderId="30" xfId="0" applyFont="1" applyFill="1" applyBorder="1" applyAlignment="1">
      <alignment horizontal="center" vertical="center"/>
    </xf>
    <xf numFmtId="0" fontId="2" fillId="0" borderId="31" xfId="0" applyFont="1" applyBorder="1"/>
    <xf numFmtId="0" fontId="2" fillId="0" borderId="32" xfId="0" applyFont="1" applyBorder="1"/>
    <xf numFmtId="0" fontId="14" fillId="3" borderId="18" xfId="0" applyFont="1" applyFill="1" applyBorder="1" applyAlignment="1">
      <alignment horizontal="center"/>
    </xf>
    <xf numFmtId="0" fontId="1" fillId="4" borderId="1" xfId="0" applyFont="1" applyFill="1" applyBorder="1" applyAlignment="1">
      <alignment horizontal="left" vertical="center" wrapText="1"/>
    </xf>
    <xf numFmtId="0" fontId="56" fillId="0" borderId="46" xfId="0" applyFont="1" applyBorder="1" applyAlignment="1" applyProtection="1">
      <alignment horizontal="left" vertical="top" wrapText="1"/>
      <protection locked="0"/>
    </xf>
    <xf numFmtId="0" fontId="57" fillId="0" borderId="47" xfId="0" applyFont="1" applyBorder="1" applyAlignment="1" applyProtection="1">
      <alignment horizontal="left" vertical="top"/>
      <protection locked="0"/>
    </xf>
    <xf numFmtId="0" fontId="57" fillId="0" borderId="48" xfId="0" applyFont="1" applyBorder="1" applyAlignment="1" applyProtection="1">
      <alignment horizontal="left" vertical="top"/>
      <protection locked="0"/>
    </xf>
    <xf numFmtId="0" fontId="57" fillId="0" borderId="49" xfId="0" applyFont="1" applyBorder="1" applyAlignment="1" applyProtection="1">
      <alignment horizontal="left" vertical="top"/>
      <protection locked="0"/>
    </xf>
    <xf numFmtId="0" fontId="57" fillId="0" borderId="0" xfId="0" applyFont="1" applyAlignment="1" applyProtection="1">
      <alignment horizontal="left" vertical="top"/>
      <protection locked="0"/>
    </xf>
    <xf numFmtId="0" fontId="57" fillId="0" borderId="50" xfId="0" applyFont="1" applyBorder="1" applyAlignment="1" applyProtection="1">
      <alignment horizontal="left" vertical="top"/>
      <protection locked="0"/>
    </xf>
    <xf numFmtId="0" fontId="57" fillId="0" borderId="51" xfId="0" applyFont="1" applyBorder="1" applyAlignment="1" applyProtection="1">
      <alignment horizontal="left" vertical="top"/>
      <protection locked="0"/>
    </xf>
    <xf numFmtId="0" fontId="57" fillId="0" borderId="52" xfId="0" applyFont="1" applyBorder="1" applyAlignment="1" applyProtection="1">
      <alignment horizontal="left" vertical="top"/>
      <protection locked="0"/>
    </xf>
    <xf numFmtId="0" fontId="57" fillId="0" borderId="53" xfId="0" applyFont="1" applyBorder="1" applyAlignment="1" applyProtection="1">
      <alignment horizontal="left" vertical="top"/>
      <protection locked="0"/>
    </xf>
    <xf numFmtId="0" fontId="22" fillId="0" borderId="0" xfId="0" applyFont="1" applyAlignment="1">
      <alignment horizontal="left" vertical="top" wrapText="1"/>
    </xf>
    <xf numFmtId="49" fontId="1" fillId="0" borderId="0" xfId="0" applyNumberFormat="1" applyFont="1" applyAlignment="1">
      <alignment horizontal="left" vertical="top" wrapText="1"/>
    </xf>
    <xf numFmtId="0" fontId="22" fillId="0" borderId="0" xfId="0" applyFont="1" applyAlignment="1">
      <alignment horizontal="left" vertical="center" wrapText="1"/>
    </xf>
    <xf numFmtId="0" fontId="1" fillId="0" borderId="0" xfId="0" applyFont="1" applyAlignment="1">
      <alignment horizontal="right" wrapText="1"/>
    </xf>
    <xf numFmtId="0" fontId="38" fillId="0" borderId="33" xfId="0" applyFont="1" applyBorder="1" applyAlignment="1">
      <alignment horizontal="left"/>
    </xf>
    <xf numFmtId="0" fontId="2" fillId="0" borderId="33" xfId="0" applyFont="1" applyBorder="1"/>
    <xf numFmtId="0" fontId="1" fillId="0" borderId="0" xfId="0" applyFont="1" applyAlignment="1">
      <alignment horizontal="left" wrapText="1"/>
    </xf>
    <xf numFmtId="0" fontId="28" fillId="0" borderId="0" xfId="0" applyFont="1" applyAlignment="1">
      <alignment horizontal="center"/>
    </xf>
    <xf numFmtId="0" fontId="1" fillId="0" borderId="42" xfId="2" applyFont="1" applyBorder="1" applyAlignment="1">
      <alignment horizontal="left" vertical="top" wrapText="1"/>
    </xf>
    <xf numFmtId="0" fontId="2" fillId="0" borderId="43" xfId="2" applyFont="1" applyBorder="1"/>
    <xf numFmtId="0" fontId="2" fillId="0" borderId="20" xfId="2" applyFont="1" applyBorder="1"/>
    <xf numFmtId="0" fontId="2" fillId="0" borderId="44" xfId="2" applyFont="1" applyBorder="1"/>
    <xf numFmtId="0" fontId="58" fillId="0" borderId="40" xfId="2" applyFont="1" applyAlignment="1"/>
    <xf numFmtId="0" fontId="2" fillId="0" borderId="25" xfId="2" applyFont="1" applyBorder="1"/>
    <xf numFmtId="0" fontId="2" fillId="0" borderId="34" xfId="2" applyFont="1" applyBorder="1"/>
    <xf numFmtId="0" fontId="2" fillId="0" borderId="35" xfId="2" applyFont="1" applyBorder="1"/>
    <xf numFmtId="0" fontId="2" fillId="0" borderId="36" xfId="2" applyFont="1" applyBorder="1"/>
    <xf numFmtId="0" fontId="1" fillId="4" borderId="15" xfId="0" applyFont="1" applyFill="1" applyBorder="1"/>
    <xf numFmtId="0" fontId="1" fillId="0" borderId="21" xfId="0" applyFont="1" applyBorder="1" applyAlignment="1">
      <alignment horizontal="center" vertical="center"/>
    </xf>
    <xf numFmtId="0" fontId="1" fillId="0" borderId="21" xfId="0" applyFont="1" applyBorder="1" applyAlignment="1">
      <alignment horizontal="center" vertical="center" wrapText="1"/>
    </xf>
    <xf numFmtId="0" fontId="14" fillId="8" borderId="15" xfId="0" applyFont="1" applyFill="1" applyBorder="1" applyAlignment="1">
      <alignment horizontal="left"/>
    </xf>
    <xf numFmtId="0" fontId="1" fillId="4" borderId="18" xfId="0" applyFont="1" applyFill="1" applyBorder="1" applyAlignment="1">
      <alignment wrapText="1"/>
    </xf>
    <xf numFmtId="0" fontId="1" fillId="0" borderId="1" xfId="0" applyFont="1" applyBorder="1" applyAlignment="1">
      <alignment horizontal="center" vertical="center"/>
    </xf>
    <xf numFmtId="0" fontId="1" fillId="4" borderId="34" xfId="0" applyFont="1" applyFill="1" applyBorder="1" applyAlignment="1">
      <alignment horizontal="left" wrapText="1"/>
    </xf>
    <xf numFmtId="0" fontId="2" fillId="0" borderId="35" xfId="0" applyFont="1" applyBorder="1"/>
    <xf numFmtId="0" fontId="2" fillId="0" borderId="36" xfId="0" applyFont="1" applyBorder="1"/>
    <xf numFmtId="0" fontId="1" fillId="9" borderId="15" xfId="0" applyFont="1" applyFill="1" applyBorder="1" applyAlignment="1">
      <alignment horizontal="left"/>
    </xf>
    <xf numFmtId="42" fontId="1" fillId="0" borderId="15" xfId="0" applyNumberFormat="1" applyFont="1" applyBorder="1" applyAlignment="1">
      <alignment horizontal="right"/>
    </xf>
    <xf numFmtId="42" fontId="1" fillId="9" borderId="15" xfId="0" applyNumberFormat="1" applyFont="1" applyFill="1" applyBorder="1" applyAlignment="1">
      <alignment horizontal="right"/>
    </xf>
    <xf numFmtId="42" fontId="1" fillId="9" borderId="15" xfId="0" applyNumberFormat="1" applyFont="1" applyFill="1" applyBorder="1" applyAlignment="1">
      <alignment horizontal="center"/>
    </xf>
    <xf numFmtId="42" fontId="1" fillId="6" borderId="15" xfId="0" applyNumberFormat="1" applyFont="1" applyFill="1" applyBorder="1" applyAlignment="1">
      <alignment horizontal="right"/>
    </xf>
    <xf numFmtId="42" fontId="1" fillId="6" borderId="15" xfId="0" applyNumberFormat="1" applyFont="1" applyFill="1" applyBorder="1" applyAlignment="1">
      <alignment horizontal="center"/>
    </xf>
    <xf numFmtId="0" fontId="1" fillId="4" borderId="23" xfId="0" applyFont="1" applyFill="1" applyBorder="1" applyAlignment="1">
      <alignment horizontal="left" vertical="center"/>
    </xf>
    <xf numFmtId="42" fontId="1" fillId="10" borderId="15" xfId="0" applyNumberFormat="1" applyFont="1" applyFill="1" applyBorder="1" applyAlignment="1">
      <alignment horizontal="center"/>
    </xf>
    <xf numFmtId="42" fontId="1" fillId="10" borderId="15" xfId="0" applyNumberFormat="1" applyFont="1" applyFill="1" applyBorder="1" applyAlignment="1">
      <alignment horizontal="right"/>
    </xf>
    <xf numFmtId="0" fontId="1" fillId="4" borderId="34" xfId="0" applyFont="1" applyFill="1" applyBorder="1" applyAlignment="1">
      <alignment horizontal="left" vertical="center"/>
    </xf>
    <xf numFmtId="0" fontId="1" fillId="9" borderId="15" xfId="0" applyFont="1" applyFill="1" applyBorder="1"/>
    <xf numFmtId="42" fontId="22" fillId="7" borderId="15" xfId="0" applyNumberFormat="1" applyFont="1" applyFill="1" applyBorder="1" applyAlignment="1">
      <alignment horizontal="right"/>
    </xf>
    <xf numFmtId="0" fontId="1" fillId="4" borderId="18" xfId="0" applyFont="1" applyFill="1" applyBorder="1" applyAlignment="1">
      <alignment horizontal="left" vertical="center"/>
    </xf>
    <xf numFmtId="0" fontId="56" fillId="0" borderId="1" xfId="0" applyFont="1" applyBorder="1" applyAlignment="1">
      <alignment horizontal="left" vertical="top" wrapText="1"/>
    </xf>
    <xf numFmtId="0" fontId="42" fillId="0" borderId="0" xfId="0" applyFont="1" applyAlignment="1">
      <alignment horizontal="center"/>
    </xf>
    <xf numFmtId="0" fontId="43" fillId="0" borderId="0" xfId="0" applyFont="1" applyAlignment="1">
      <alignment horizontal="center"/>
    </xf>
    <xf numFmtId="0" fontId="13" fillId="8" borderId="23" xfId="0" applyFont="1" applyFill="1" applyBorder="1" applyAlignment="1">
      <alignment horizontal="center" vertical="center" wrapText="1"/>
    </xf>
    <xf numFmtId="0" fontId="2" fillId="0" borderId="40" xfId="0" applyFont="1" applyBorder="1"/>
    <xf numFmtId="0" fontId="12" fillId="8" borderId="23" xfId="0" applyFont="1" applyFill="1" applyBorder="1" applyAlignment="1">
      <alignment horizontal="center" vertical="center" wrapText="1"/>
    </xf>
    <xf numFmtId="0" fontId="40" fillId="4" borderId="37" xfId="0" applyFont="1" applyFill="1" applyBorder="1" applyAlignment="1">
      <alignment horizontal="center" vertical="center"/>
    </xf>
    <xf numFmtId="0" fontId="2" fillId="0" borderId="38" xfId="0" applyFont="1" applyBorder="1"/>
    <xf numFmtId="0" fontId="2" fillId="0" borderId="39" xfId="0" applyFont="1" applyBorder="1"/>
    <xf numFmtId="0" fontId="11" fillId="5" borderId="29" xfId="0" applyFont="1" applyFill="1" applyBorder="1" applyAlignment="1">
      <alignment horizontal="left"/>
    </xf>
    <xf numFmtId="0" fontId="1" fillId="0" borderId="0" xfId="0" applyFont="1" applyAlignment="1">
      <alignment horizontal="center"/>
    </xf>
    <xf numFmtId="0" fontId="1" fillId="12" borderId="15" xfId="0" applyFont="1" applyFill="1" applyBorder="1" applyAlignment="1">
      <alignment horizontal="left"/>
    </xf>
    <xf numFmtId="0" fontId="10" fillId="5" borderId="15" xfId="0" applyFont="1" applyFill="1" applyBorder="1" applyAlignment="1">
      <alignment horizontal="center"/>
    </xf>
    <xf numFmtId="0" fontId="22" fillId="0" borderId="0" xfId="0" applyFont="1" applyAlignment="1">
      <alignment horizontal="center" vertical="top" wrapText="1"/>
    </xf>
    <xf numFmtId="0" fontId="22" fillId="0" borderId="8" xfId="0" applyFont="1" applyBorder="1" applyAlignment="1">
      <alignment horizontal="center"/>
    </xf>
    <xf numFmtId="0" fontId="1" fillId="0" borderId="1"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12" borderId="23" xfId="0" applyFont="1" applyFill="1" applyBorder="1" applyAlignment="1">
      <alignment horizontal="left"/>
    </xf>
    <xf numFmtId="0" fontId="1" fillId="12" borderId="34" xfId="0" applyFont="1" applyFill="1" applyBorder="1" applyAlignment="1">
      <alignment horizontal="left"/>
    </xf>
    <xf numFmtId="0" fontId="1" fillId="12" borderId="18" xfId="0" applyFont="1" applyFill="1" applyBorder="1" applyAlignment="1">
      <alignment horizontal="left"/>
    </xf>
    <xf numFmtId="0" fontId="10" fillId="5" borderId="18"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xf numFmtId="0" fontId="13" fillId="3" borderId="23" xfId="0" applyFont="1" applyFill="1" applyBorder="1" applyAlignment="1">
      <alignment horizontal="center" vertical="center" wrapText="1"/>
    </xf>
    <xf numFmtId="0" fontId="4" fillId="3" borderId="42" xfId="0" applyFont="1" applyFill="1" applyBorder="1" applyAlignment="1">
      <alignment horizontal="center"/>
    </xf>
    <xf numFmtId="0" fontId="4" fillId="3" borderId="43" xfId="0" applyFont="1" applyFill="1" applyBorder="1" applyAlignment="1">
      <alignment horizontal="center"/>
    </xf>
    <xf numFmtId="0" fontId="4" fillId="3" borderId="20" xfId="0" applyFont="1" applyFill="1" applyBorder="1" applyAlignment="1">
      <alignment horizontal="center"/>
    </xf>
    <xf numFmtId="0" fontId="4" fillId="3" borderId="44" xfId="0" applyFont="1" applyFill="1" applyBorder="1" applyAlignment="1">
      <alignment horizontal="center"/>
    </xf>
    <xf numFmtId="0" fontId="4" fillId="3" borderId="40" xfId="0" applyFont="1" applyFill="1" applyBorder="1" applyAlignment="1">
      <alignment horizontal="center"/>
    </xf>
    <xf numFmtId="0" fontId="4" fillId="3" borderId="25" xfId="0" applyFont="1" applyFill="1" applyBorder="1" applyAlignment="1">
      <alignment horizontal="center"/>
    </xf>
    <xf numFmtId="0" fontId="1" fillId="2" borderId="42" xfId="0" applyFont="1" applyFill="1" applyBorder="1" applyAlignment="1">
      <alignment horizontal="center"/>
    </xf>
    <xf numFmtId="0" fontId="1" fillId="2" borderId="43" xfId="0" applyFont="1" applyFill="1" applyBorder="1" applyAlignment="1">
      <alignment horizontal="center"/>
    </xf>
    <xf numFmtId="0" fontId="1" fillId="2" borderId="44" xfId="0" applyFont="1" applyFill="1" applyBorder="1" applyAlignment="1">
      <alignment horizontal="center"/>
    </xf>
    <xf numFmtId="0" fontId="1" fillId="2" borderId="40" xfId="0" applyFont="1" applyFill="1" applyBorder="1" applyAlignment="1">
      <alignment horizontal="center"/>
    </xf>
    <xf numFmtId="0" fontId="1" fillId="2" borderId="34" xfId="0" applyFont="1" applyFill="1" applyBorder="1" applyAlignment="1">
      <alignment horizontal="center"/>
    </xf>
    <xf numFmtId="0" fontId="1" fillId="2" borderId="35" xfId="0" applyFont="1" applyFill="1" applyBorder="1" applyAlignment="1">
      <alignment horizontal="center"/>
    </xf>
  </cellXfs>
  <cellStyles count="4">
    <cellStyle name="Hyperlink" xfId="1" builtinId="8"/>
    <cellStyle name="Hyperlink 2" xfId="3" xr:uid="{CE09D9CC-8C4F-443A-9BB9-73ED7926D3EB}"/>
    <cellStyle name="Normal" xfId="0" builtinId="0"/>
    <cellStyle name="Normal 2" xfId="2" xr:uid="{54C45FA7-927E-4B53-A89C-BEFCDE3E7B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122</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122</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122</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122</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3EA4C1B-5F4C-4A6C-8647-77D58121330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 name="Shape 10">
          <a:extLst>
            <a:ext uri="{FF2B5EF4-FFF2-40B4-BE49-F238E27FC236}">
              <a16:creationId xmlns:a16="http://schemas.microsoft.com/office/drawing/2014/main" id="{6B202128-E7C5-40B4-988B-A0ABC33B6A11}"/>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C4439672-4695-4D00-90E5-CBB11502247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A1BB1EF3-4EE8-41D1-939B-FFA94A5A2AC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108A1CA8-4390-45C9-B373-08432B4E886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 name="Shape 11">
          <a:extLst>
            <a:ext uri="{FF2B5EF4-FFF2-40B4-BE49-F238E27FC236}">
              <a16:creationId xmlns:a16="http://schemas.microsoft.com/office/drawing/2014/main" id="{CB77748C-B483-42A5-AEAC-EDE15A60115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723D0EEF-22AD-400E-8145-37F1C3DFB88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9" name="Shape 10">
          <a:extLst>
            <a:ext uri="{FF2B5EF4-FFF2-40B4-BE49-F238E27FC236}">
              <a16:creationId xmlns:a16="http://schemas.microsoft.com/office/drawing/2014/main" id="{56879AE1-51D0-4728-AB13-224BDCC4C8ED}"/>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0" name="Shape 11">
          <a:extLst>
            <a:ext uri="{FF2B5EF4-FFF2-40B4-BE49-F238E27FC236}">
              <a16:creationId xmlns:a16="http://schemas.microsoft.com/office/drawing/2014/main" id="{8C288DAD-D39B-4091-91BE-5E80BC2F8D4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BAFD1053-2384-4908-B5FE-10E12C01ACA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B0AC6B59-837E-4083-9BA3-393D0852E51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48D530F1-A5CE-4BAC-8E49-B90AAEA7686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B04CB1F7-0183-46D2-BE64-2A4F569728E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52BB8A3E-0619-45AB-84BE-924240644F2F}"/>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881BFFA4-1063-4EF5-9C1B-A5603C0D937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23229E3C-3B46-4EE5-90C3-2F6224746EF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1EBB01CF-2A40-43AD-A048-1A6ACDAC32B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A5518FB3-3C4D-48DB-B771-ECEAC88CE5E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3B6712FF-34F5-4978-98A0-3F8DA1FCB7D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24F7319E-5FC4-42A0-BFF4-BF00A41DC603}"/>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34192964-4A7A-4813-B88E-1076DB5E8A4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FBBB0FF1-10F4-42B7-9A73-6974A647B2C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4140B4AC-2D5E-452D-AC66-49F9F80A305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A6EF8857-40CA-470F-8332-0AAF2E6196D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E9ABB92B-7D00-4E43-B5B9-9194E879997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4029D84B-06F7-4265-9530-6B0C15443E8E}"/>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AAAE8E84-F2C7-441E-904B-799ACBB1462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9EA03DE0-A186-49C9-A582-70E304DCD00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BBFC5A04-0E85-4FEE-A282-B898D132E0B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1A845F8A-BB46-4855-A235-EAC6F967255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5FB5B75B-A91B-4AB4-8D23-C43595D74A1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EA255F67-0986-4588-BDCC-E514DBBC789E}"/>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C2109036-413F-4A11-98D5-EC2E698A543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81338834-CA52-4885-BCBA-393F2BD40F8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5962E068-94C3-44B8-BC39-0F24F7085D6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6E55F8C0-4B65-4441-BD37-2CF47F460BC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A7D6841D-85A1-47DA-B4F1-00F322B3FCC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72928B63-ED72-41A0-8B55-88E7487601D8}"/>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A07A0439-0F1F-4490-82A3-5793F04DF03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A99DEECD-67B8-4136-BEA4-AE10C36FC257}"/>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D90F1491-2955-4CBC-950E-3812ED883D9B}"/>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262FD256-A7AC-49DE-8264-7D685C2C1755}"/>
            </a:ext>
          </a:extLst>
        </xdr:cNvPr>
        <xdr:cNvSpPr txBox="1"/>
      </xdr:nvSpPr>
      <xdr:spPr>
        <a:xfrm>
          <a:off x="4124325" y="1619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4D5025E7-D2E9-44C5-A010-BB2DAFB0DEEB}"/>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10A2100F-D0FD-4713-92DC-AA4FA2AE14F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DC67B6B9-3CAF-46C7-A1AB-9F003D8D9D55}"/>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BBE8A4DE-6655-4F92-93B9-04FEFB51358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26131EFE-259F-48D9-8279-17DA3EAD3E1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E59EC942-DE5F-45FD-B90F-D57E0A2698E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5C2F8E9F-4EF6-4987-A0C2-53CA8FCBC0E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8BA39D7B-65F1-4BB4-8CB7-927D13CCC5E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5C8EC170-B578-48DF-9402-E38AF0FE89D3}"/>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D71EA117-495F-4591-BFAA-DC1152BBA72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8E3C82F4-6542-4CAA-8647-D70D0520D36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4EAB6D2A-A0EE-4F8C-96AA-1A81587DC77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A1304052-14F5-468A-8312-4FBA360F4FF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107CECD5-B30C-4E4A-84D8-48E7E11129F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E529068E-B0B4-43AB-9BA2-0FC4272FBCD8}"/>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A851BE01-F69A-4737-A5DA-11EEB051FD7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E4A605E0-025F-4015-82AA-8128F344B11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7686C88D-F74C-4127-812E-948F77C9E7B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D2EB6D47-0C71-4130-AD6F-A27BAE7904B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B284554D-1A62-43BD-97F1-B993CAF7550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D7463E90-2697-44FA-9D3A-D32FEBED538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43A1583-901F-4BD6-8B7D-45C66C6D708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4E849375-2BB8-403F-875E-B6758A4D7E6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CB28410F-F1A9-47BF-8F40-73DA7AE1DD3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F5623C76-EC45-451E-B06B-B8459A6AE8E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359413D3-D10C-4C71-8858-E6FE9A9028F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68338FBF-4090-4BF1-B6C5-911DF7AF7E1A}"/>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B605FB87-77CE-4068-B89B-9865D8C0280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47FC693C-3F46-4097-A1A9-572C5E6B33A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524E2BC0-EC76-4AB6-9E9F-5B89427FA55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82F0F4A7-1640-4440-AA62-C5B9EB5405C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81145DE7-2E32-47B4-8466-85E84B46DF7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CB15234F-6D86-4D71-A0A0-B4D004000DC5}"/>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296764C8-B52D-497E-A5F1-0E94A43776C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C2D80DCA-6A7F-40BF-A400-29617E11BFF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A1F2E61C-6362-4F94-AAB0-502699ABF59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3E19BFD3-BEC2-4788-9C2B-80863352B3C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6922B097-2E32-4E93-B1AE-C9C1DB9FC53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ED89747D-C915-431C-87C3-6D1D81A8100B}"/>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7CEDAEEA-D6CD-461C-B9D4-2FC9A79E121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78CEFF0A-DE5E-43A4-9A48-58E0BAE7F79C}"/>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EEC85C70-B047-4BB2-935B-22FB338914B8}"/>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C92F2E9C-C2F4-4B2F-B8D8-3D39C68B6701}"/>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FDFFFAAC-FE84-4668-B50A-CD7BFECA9EEC}"/>
            </a:ext>
          </a:extLst>
        </xdr:cNvPr>
        <xdr:cNvSpPr txBox="1"/>
      </xdr:nvSpPr>
      <xdr:spPr>
        <a:xfrm>
          <a:off x="0" y="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88" name="Shape 11">
          <a:extLst>
            <a:ext uri="{FF2B5EF4-FFF2-40B4-BE49-F238E27FC236}">
              <a16:creationId xmlns:a16="http://schemas.microsoft.com/office/drawing/2014/main" id="{072F9D52-B880-461F-9C2F-15BA48F58F3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89" name="Shape 10">
          <a:extLst>
            <a:ext uri="{FF2B5EF4-FFF2-40B4-BE49-F238E27FC236}">
              <a16:creationId xmlns:a16="http://schemas.microsoft.com/office/drawing/2014/main" id="{CD41068E-24E6-4CE8-B8A9-438E8CC614C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0" name="Shape 11">
          <a:extLst>
            <a:ext uri="{FF2B5EF4-FFF2-40B4-BE49-F238E27FC236}">
              <a16:creationId xmlns:a16="http://schemas.microsoft.com/office/drawing/2014/main" id="{FBB1655F-FDD5-4411-9B80-185FD7D0A30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1" name="Shape 11">
          <a:extLst>
            <a:ext uri="{FF2B5EF4-FFF2-40B4-BE49-F238E27FC236}">
              <a16:creationId xmlns:a16="http://schemas.microsoft.com/office/drawing/2014/main" id="{5CDEA2B8-8B87-494B-9192-CFD575175F6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2" name="Shape 11">
          <a:extLst>
            <a:ext uri="{FF2B5EF4-FFF2-40B4-BE49-F238E27FC236}">
              <a16:creationId xmlns:a16="http://schemas.microsoft.com/office/drawing/2014/main" id="{C877BBFB-B5D0-42CD-B345-EBDCA561652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3" name="Shape 11">
          <a:extLst>
            <a:ext uri="{FF2B5EF4-FFF2-40B4-BE49-F238E27FC236}">
              <a16:creationId xmlns:a16="http://schemas.microsoft.com/office/drawing/2014/main" id="{F3EDD214-B914-427E-BEC7-CADEC337302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4" name="Shape 11">
          <a:extLst>
            <a:ext uri="{FF2B5EF4-FFF2-40B4-BE49-F238E27FC236}">
              <a16:creationId xmlns:a16="http://schemas.microsoft.com/office/drawing/2014/main" id="{CF71EF89-D180-4298-BB2E-64A1A587BC8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95" name="Shape 10">
          <a:extLst>
            <a:ext uri="{FF2B5EF4-FFF2-40B4-BE49-F238E27FC236}">
              <a16:creationId xmlns:a16="http://schemas.microsoft.com/office/drawing/2014/main" id="{CF3A96DE-3F2E-48BB-BE79-6B475C1880C8}"/>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6" name="Shape 11">
          <a:extLst>
            <a:ext uri="{FF2B5EF4-FFF2-40B4-BE49-F238E27FC236}">
              <a16:creationId xmlns:a16="http://schemas.microsoft.com/office/drawing/2014/main" id="{8161AF04-8F5B-4D75-803F-F39C21C0209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7" name="Shape 11">
          <a:extLst>
            <a:ext uri="{FF2B5EF4-FFF2-40B4-BE49-F238E27FC236}">
              <a16:creationId xmlns:a16="http://schemas.microsoft.com/office/drawing/2014/main" id="{A9A7FCEF-4272-4CFA-8CEA-E8AE39F3964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8" name="Shape 11">
          <a:extLst>
            <a:ext uri="{FF2B5EF4-FFF2-40B4-BE49-F238E27FC236}">
              <a16:creationId xmlns:a16="http://schemas.microsoft.com/office/drawing/2014/main" id="{A82065DD-4F00-4DC1-BC3F-E9855620FEA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9" name="Shape 11">
          <a:extLst>
            <a:ext uri="{FF2B5EF4-FFF2-40B4-BE49-F238E27FC236}">
              <a16:creationId xmlns:a16="http://schemas.microsoft.com/office/drawing/2014/main" id="{7A035156-FCAD-4E73-984E-EF1E4A7B3E1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0" name="Shape 11">
          <a:extLst>
            <a:ext uri="{FF2B5EF4-FFF2-40B4-BE49-F238E27FC236}">
              <a16:creationId xmlns:a16="http://schemas.microsoft.com/office/drawing/2014/main" id="{E77263EB-19D9-40EA-BF22-090683C9651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1" name="Shape 10">
          <a:extLst>
            <a:ext uri="{FF2B5EF4-FFF2-40B4-BE49-F238E27FC236}">
              <a16:creationId xmlns:a16="http://schemas.microsoft.com/office/drawing/2014/main" id="{B754CBC8-E595-4083-A59B-7D15A9A6809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2" name="Shape 11">
          <a:extLst>
            <a:ext uri="{FF2B5EF4-FFF2-40B4-BE49-F238E27FC236}">
              <a16:creationId xmlns:a16="http://schemas.microsoft.com/office/drawing/2014/main" id="{3215254E-9697-4C67-B0A8-040A89869A1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3" name="Shape 11">
          <a:extLst>
            <a:ext uri="{FF2B5EF4-FFF2-40B4-BE49-F238E27FC236}">
              <a16:creationId xmlns:a16="http://schemas.microsoft.com/office/drawing/2014/main" id="{B0DA6B33-5E5D-495F-B2A3-E7BBEC1C6FA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4" name="Shape 11">
          <a:extLst>
            <a:ext uri="{FF2B5EF4-FFF2-40B4-BE49-F238E27FC236}">
              <a16:creationId xmlns:a16="http://schemas.microsoft.com/office/drawing/2014/main" id="{37B7C35B-75D9-4991-ABBB-3C55468CEB7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5" name="Shape 11">
          <a:extLst>
            <a:ext uri="{FF2B5EF4-FFF2-40B4-BE49-F238E27FC236}">
              <a16:creationId xmlns:a16="http://schemas.microsoft.com/office/drawing/2014/main" id="{05B6815B-9441-4E20-8761-9489EE9E230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6" name="Shape 11">
          <a:extLst>
            <a:ext uri="{FF2B5EF4-FFF2-40B4-BE49-F238E27FC236}">
              <a16:creationId xmlns:a16="http://schemas.microsoft.com/office/drawing/2014/main" id="{AF535BA7-F4D1-4358-8417-01B7F9820B3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7" name="Shape 10">
          <a:extLst>
            <a:ext uri="{FF2B5EF4-FFF2-40B4-BE49-F238E27FC236}">
              <a16:creationId xmlns:a16="http://schemas.microsoft.com/office/drawing/2014/main" id="{D9DB6B74-E0DB-46E6-B328-F93B154DB7AB}"/>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8" name="Shape 11">
          <a:extLst>
            <a:ext uri="{FF2B5EF4-FFF2-40B4-BE49-F238E27FC236}">
              <a16:creationId xmlns:a16="http://schemas.microsoft.com/office/drawing/2014/main" id="{25B62E91-505F-469C-8B7F-39DDB16D7C5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9" name="Shape 11">
          <a:extLst>
            <a:ext uri="{FF2B5EF4-FFF2-40B4-BE49-F238E27FC236}">
              <a16:creationId xmlns:a16="http://schemas.microsoft.com/office/drawing/2014/main" id="{BBD3F95E-73EA-4CB0-8B27-6A1C2C67725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0" name="Shape 11">
          <a:extLst>
            <a:ext uri="{FF2B5EF4-FFF2-40B4-BE49-F238E27FC236}">
              <a16:creationId xmlns:a16="http://schemas.microsoft.com/office/drawing/2014/main" id="{EDE80640-9B82-4CFD-8770-E5900682BDB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1" name="Shape 11">
          <a:extLst>
            <a:ext uri="{FF2B5EF4-FFF2-40B4-BE49-F238E27FC236}">
              <a16:creationId xmlns:a16="http://schemas.microsoft.com/office/drawing/2014/main" id="{364EB08A-FD10-4442-9B3C-D625F171CF5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2" name="Shape 11">
          <a:extLst>
            <a:ext uri="{FF2B5EF4-FFF2-40B4-BE49-F238E27FC236}">
              <a16:creationId xmlns:a16="http://schemas.microsoft.com/office/drawing/2014/main" id="{41F39CFA-09F4-4B22-9197-FAA0051E485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3" name="Shape 10">
          <a:extLst>
            <a:ext uri="{FF2B5EF4-FFF2-40B4-BE49-F238E27FC236}">
              <a16:creationId xmlns:a16="http://schemas.microsoft.com/office/drawing/2014/main" id="{4554804C-F97C-4AE7-99D7-A333CA836E92}"/>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4" name="Shape 11">
          <a:extLst>
            <a:ext uri="{FF2B5EF4-FFF2-40B4-BE49-F238E27FC236}">
              <a16:creationId xmlns:a16="http://schemas.microsoft.com/office/drawing/2014/main" id="{7FAEF26C-FC45-4ACB-AB75-B7E7B138DA0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5" name="Shape 11">
          <a:extLst>
            <a:ext uri="{FF2B5EF4-FFF2-40B4-BE49-F238E27FC236}">
              <a16:creationId xmlns:a16="http://schemas.microsoft.com/office/drawing/2014/main" id="{89209BD8-743D-4DEF-B506-CEDA8E4F4C6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6" name="Shape 11">
          <a:extLst>
            <a:ext uri="{FF2B5EF4-FFF2-40B4-BE49-F238E27FC236}">
              <a16:creationId xmlns:a16="http://schemas.microsoft.com/office/drawing/2014/main" id="{96567F55-C7B1-4851-9A82-F5989A90221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7" name="Shape 11">
          <a:extLst>
            <a:ext uri="{FF2B5EF4-FFF2-40B4-BE49-F238E27FC236}">
              <a16:creationId xmlns:a16="http://schemas.microsoft.com/office/drawing/2014/main" id="{1E1BB647-39D7-4251-9EEE-6BC1E2533AC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8" name="Shape 11">
          <a:extLst>
            <a:ext uri="{FF2B5EF4-FFF2-40B4-BE49-F238E27FC236}">
              <a16:creationId xmlns:a16="http://schemas.microsoft.com/office/drawing/2014/main" id="{588C4321-64A6-4CCD-B93B-98D3FC668EE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9" name="Shape 10">
          <a:extLst>
            <a:ext uri="{FF2B5EF4-FFF2-40B4-BE49-F238E27FC236}">
              <a16:creationId xmlns:a16="http://schemas.microsoft.com/office/drawing/2014/main" id="{8D4544AB-ECDC-4688-83BF-A0918F98977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0" name="Shape 11">
          <a:extLst>
            <a:ext uri="{FF2B5EF4-FFF2-40B4-BE49-F238E27FC236}">
              <a16:creationId xmlns:a16="http://schemas.microsoft.com/office/drawing/2014/main" id="{C5139498-0D44-4E62-B3A6-207B8D5D6E1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1" name="Shape 11">
          <a:extLst>
            <a:ext uri="{FF2B5EF4-FFF2-40B4-BE49-F238E27FC236}">
              <a16:creationId xmlns:a16="http://schemas.microsoft.com/office/drawing/2014/main" id="{7B2A6C2C-CB4A-4674-B5C2-85C52744478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2" name="Shape 11">
          <a:extLst>
            <a:ext uri="{FF2B5EF4-FFF2-40B4-BE49-F238E27FC236}">
              <a16:creationId xmlns:a16="http://schemas.microsoft.com/office/drawing/2014/main" id="{06756171-4961-4EE9-8034-0C5AF07E332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3" name="Shape 11">
          <a:extLst>
            <a:ext uri="{FF2B5EF4-FFF2-40B4-BE49-F238E27FC236}">
              <a16:creationId xmlns:a16="http://schemas.microsoft.com/office/drawing/2014/main" id="{47CAFEDE-E01C-4F0B-A592-11A780A355F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4" name="Shape 11">
          <a:extLst>
            <a:ext uri="{FF2B5EF4-FFF2-40B4-BE49-F238E27FC236}">
              <a16:creationId xmlns:a16="http://schemas.microsoft.com/office/drawing/2014/main" id="{C84F4D77-B6A9-49AB-BEDD-2548E55F46C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5" name="Shape 10">
          <a:extLst>
            <a:ext uri="{FF2B5EF4-FFF2-40B4-BE49-F238E27FC236}">
              <a16:creationId xmlns:a16="http://schemas.microsoft.com/office/drawing/2014/main" id="{5305CD70-8E33-41A0-A6A5-6EE61731035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6" name="Shape 11">
          <a:extLst>
            <a:ext uri="{FF2B5EF4-FFF2-40B4-BE49-F238E27FC236}">
              <a16:creationId xmlns:a16="http://schemas.microsoft.com/office/drawing/2014/main" id="{30F0D6F4-9BA7-4101-9D4F-40ED516855D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7" name="Shape 13">
          <a:extLst>
            <a:ext uri="{FF2B5EF4-FFF2-40B4-BE49-F238E27FC236}">
              <a16:creationId xmlns:a16="http://schemas.microsoft.com/office/drawing/2014/main" id="{4FFCEEC0-84D4-47C3-8219-FB6071CFD3F4}"/>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28" name="Shape 14">
          <a:extLst>
            <a:ext uri="{FF2B5EF4-FFF2-40B4-BE49-F238E27FC236}">
              <a16:creationId xmlns:a16="http://schemas.microsoft.com/office/drawing/2014/main" id="{F88158EB-01F9-4102-B6CB-ED912E48740A}"/>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9" name="Shape 10">
          <a:extLst>
            <a:ext uri="{FF2B5EF4-FFF2-40B4-BE49-F238E27FC236}">
              <a16:creationId xmlns:a16="http://schemas.microsoft.com/office/drawing/2014/main" id="{4D859EC2-378E-446E-949D-20B19A3D11E5}"/>
            </a:ext>
          </a:extLst>
        </xdr:cNvPr>
        <xdr:cNvSpPr txBox="1"/>
      </xdr:nvSpPr>
      <xdr:spPr>
        <a:xfrm>
          <a:off x="4124325" y="90678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30" name="Shape 14">
          <a:extLst>
            <a:ext uri="{FF2B5EF4-FFF2-40B4-BE49-F238E27FC236}">
              <a16:creationId xmlns:a16="http://schemas.microsoft.com/office/drawing/2014/main" id="{E0DBBE53-69C9-492E-B911-58C5DA02C78E}"/>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1" name="Shape 11">
          <a:extLst>
            <a:ext uri="{FF2B5EF4-FFF2-40B4-BE49-F238E27FC236}">
              <a16:creationId xmlns:a16="http://schemas.microsoft.com/office/drawing/2014/main" id="{C38ED463-C316-4F4E-8A35-EC711B5C335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2" name="Shape 10">
          <a:extLst>
            <a:ext uri="{FF2B5EF4-FFF2-40B4-BE49-F238E27FC236}">
              <a16:creationId xmlns:a16="http://schemas.microsoft.com/office/drawing/2014/main" id="{378B9A73-5473-4E63-92DC-1C97AF33417D}"/>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3" name="Shape 11">
          <a:extLst>
            <a:ext uri="{FF2B5EF4-FFF2-40B4-BE49-F238E27FC236}">
              <a16:creationId xmlns:a16="http://schemas.microsoft.com/office/drawing/2014/main" id="{89303D8B-3B8D-4FAC-9C02-3AFD1C1FDA3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4" name="Shape 11">
          <a:extLst>
            <a:ext uri="{FF2B5EF4-FFF2-40B4-BE49-F238E27FC236}">
              <a16:creationId xmlns:a16="http://schemas.microsoft.com/office/drawing/2014/main" id="{E4DE508F-A4D1-4CA2-97F1-433321D8DA7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5" name="Shape 11">
          <a:extLst>
            <a:ext uri="{FF2B5EF4-FFF2-40B4-BE49-F238E27FC236}">
              <a16:creationId xmlns:a16="http://schemas.microsoft.com/office/drawing/2014/main" id="{A5C2C961-623E-45D3-9504-781B318CC38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6" name="Shape 11">
          <a:extLst>
            <a:ext uri="{FF2B5EF4-FFF2-40B4-BE49-F238E27FC236}">
              <a16:creationId xmlns:a16="http://schemas.microsoft.com/office/drawing/2014/main" id="{CD499638-EE83-46FA-9CA1-C7F06E4FBB1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7" name="Shape 11">
          <a:extLst>
            <a:ext uri="{FF2B5EF4-FFF2-40B4-BE49-F238E27FC236}">
              <a16:creationId xmlns:a16="http://schemas.microsoft.com/office/drawing/2014/main" id="{BED0F6A7-AA5C-4058-A6F7-B535E52A5CD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8" name="Shape 10">
          <a:extLst>
            <a:ext uri="{FF2B5EF4-FFF2-40B4-BE49-F238E27FC236}">
              <a16:creationId xmlns:a16="http://schemas.microsoft.com/office/drawing/2014/main" id="{0808E2B4-7555-4E92-A753-3C6C678F521A}"/>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9" name="Shape 11">
          <a:extLst>
            <a:ext uri="{FF2B5EF4-FFF2-40B4-BE49-F238E27FC236}">
              <a16:creationId xmlns:a16="http://schemas.microsoft.com/office/drawing/2014/main" id="{D593D7AE-CA5F-4925-8EC4-6F355BA1DE2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0" name="Shape 11">
          <a:extLst>
            <a:ext uri="{FF2B5EF4-FFF2-40B4-BE49-F238E27FC236}">
              <a16:creationId xmlns:a16="http://schemas.microsoft.com/office/drawing/2014/main" id="{85087924-40BE-4486-A9D9-80151C6F822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1" name="Shape 11">
          <a:extLst>
            <a:ext uri="{FF2B5EF4-FFF2-40B4-BE49-F238E27FC236}">
              <a16:creationId xmlns:a16="http://schemas.microsoft.com/office/drawing/2014/main" id="{8B5D2E16-C60C-4C6D-87E8-353C013CCE0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2" name="Shape 11">
          <a:extLst>
            <a:ext uri="{FF2B5EF4-FFF2-40B4-BE49-F238E27FC236}">
              <a16:creationId xmlns:a16="http://schemas.microsoft.com/office/drawing/2014/main" id="{A3BC0D20-8B1E-4EF7-A2D5-1E473A8FCBE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3" name="Shape 11">
          <a:extLst>
            <a:ext uri="{FF2B5EF4-FFF2-40B4-BE49-F238E27FC236}">
              <a16:creationId xmlns:a16="http://schemas.microsoft.com/office/drawing/2014/main" id="{8388DD19-7318-436E-94DF-BF6E88FFDF0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44" name="Shape 10">
          <a:extLst>
            <a:ext uri="{FF2B5EF4-FFF2-40B4-BE49-F238E27FC236}">
              <a16:creationId xmlns:a16="http://schemas.microsoft.com/office/drawing/2014/main" id="{8BDCA266-204F-4D47-8211-8D02AEB90521}"/>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5" name="Shape 11">
          <a:extLst>
            <a:ext uri="{FF2B5EF4-FFF2-40B4-BE49-F238E27FC236}">
              <a16:creationId xmlns:a16="http://schemas.microsoft.com/office/drawing/2014/main" id="{1C8A7084-0AD4-402B-BFA6-928C1E54936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6" name="Shape 11">
          <a:extLst>
            <a:ext uri="{FF2B5EF4-FFF2-40B4-BE49-F238E27FC236}">
              <a16:creationId xmlns:a16="http://schemas.microsoft.com/office/drawing/2014/main" id="{2D7CEE9B-52C7-4448-89FC-A1086A9988E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7" name="Shape 11">
          <a:extLst>
            <a:ext uri="{FF2B5EF4-FFF2-40B4-BE49-F238E27FC236}">
              <a16:creationId xmlns:a16="http://schemas.microsoft.com/office/drawing/2014/main" id="{EC8265B7-7C99-441E-B3F0-630153E6F17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8" name="Shape 11">
          <a:extLst>
            <a:ext uri="{FF2B5EF4-FFF2-40B4-BE49-F238E27FC236}">
              <a16:creationId xmlns:a16="http://schemas.microsoft.com/office/drawing/2014/main" id="{3430CFB7-BCC1-4249-95F3-C96E09895EC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9" name="Shape 11">
          <a:extLst>
            <a:ext uri="{FF2B5EF4-FFF2-40B4-BE49-F238E27FC236}">
              <a16:creationId xmlns:a16="http://schemas.microsoft.com/office/drawing/2014/main" id="{6A8E1D28-9C40-46E1-8C8C-0EBB82D4A92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0" name="Shape 10">
          <a:extLst>
            <a:ext uri="{FF2B5EF4-FFF2-40B4-BE49-F238E27FC236}">
              <a16:creationId xmlns:a16="http://schemas.microsoft.com/office/drawing/2014/main" id="{4BF2A508-B53C-4938-8748-14D57353545F}"/>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1" name="Shape 11">
          <a:extLst>
            <a:ext uri="{FF2B5EF4-FFF2-40B4-BE49-F238E27FC236}">
              <a16:creationId xmlns:a16="http://schemas.microsoft.com/office/drawing/2014/main" id="{0E96EEAA-6A38-4947-A9E2-7A2E5BA2724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2" name="Shape 11">
          <a:extLst>
            <a:ext uri="{FF2B5EF4-FFF2-40B4-BE49-F238E27FC236}">
              <a16:creationId xmlns:a16="http://schemas.microsoft.com/office/drawing/2014/main" id="{755755D2-A479-4AA0-AF12-9EC53CA196C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3" name="Shape 11">
          <a:extLst>
            <a:ext uri="{FF2B5EF4-FFF2-40B4-BE49-F238E27FC236}">
              <a16:creationId xmlns:a16="http://schemas.microsoft.com/office/drawing/2014/main" id="{F0E17BC6-0F13-47C2-9A68-00C5074189E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4" name="Shape 11">
          <a:extLst>
            <a:ext uri="{FF2B5EF4-FFF2-40B4-BE49-F238E27FC236}">
              <a16:creationId xmlns:a16="http://schemas.microsoft.com/office/drawing/2014/main" id="{12745FA9-F3CA-42CA-9A3B-E4630EEA4E8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5" name="Shape 11">
          <a:extLst>
            <a:ext uri="{FF2B5EF4-FFF2-40B4-BE49-F238E27FC236}">
              <a16:creationId xmlns:a16="http://schemas.microsoft.com/office/drawing/2014/main" id="{2CBC8244-E243-4A2B-9CC8-15DA80D3C02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6" name="Shape 10">
          <a:extLst>
            <a:ext uri="{FF2B5EF4-FFF2-40B4-BE49-F238E27FC236}">
              <a16:creationId xmlns:a16="http://schemas.microsoft.com/office/drawing/2014/main" id="{418FC61E-12F1-4457-A8EB-0E8D8B891E2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7" name="Shape 11">
          <a:extLst>
            <a:ext uri="{FF2B5EF4-FFF2-40B4-BE49-F238E27FC236}">
              <a16:creationId xmlns:a16="http://schemas.microsoft.com/office/drawing/2014/main" id="{9C9FC518-9838-4EDC-B8B3-7033A90C62D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8" name="Shape 11">
          <a:extLst>
            <a:ext uri="{FF2B5EF4-FFF2-40B4-BE49-F238E27FC236}">
              <a16:creationId xmlns:a16="http://schemas.microsoft.com/office/drawing/2014/main" id="{9BE01CF5-E568-44E3-82BE-F9579514814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9" name="Shape 11">
          <a:extLst>
            <a:ext uri="{FF2B5EF4-FFF2-40B4-BE49-F238E27FC236}">
              <a16:creationId xmlns:a16="http://schemas.microsoft.com/office/drawing/2014/main" id="{22BC878B-8746-434A-9471-64CB1E29EF4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0" name="Shape 11">
          <a:extLst>
            <a:ext uri="{FF2B5EF4-FFF2-40B4-BE49-F238E27FC236}">
              <a16:creationId xmlns:a16="http://schemas.microsoft.com/office/drawing/2014/main" id="{5E8A19BD-18B9-4126-9197-1C6EBDBE01C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1" name="Shape 11">
          <a:extLst>
            <a:ext uri="{FF2B5EF4-FFF2-40B4-BE49-F238E27FC236}">
              <a16:creationId xmlns:a16="http://schemas.microsoft.com/office/drawing/2014/main" id="{35AC6741-D5F2-4742-AE5E-D1C6A5B74A4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2" name="Shape 10">
          <a:extLst>
            <a:ext uri="{FF2B5EF4-FFF2-40B4-BE49-F238E27FC236}">
              <a16:creationId xmlns:a16="http://schemas.microsoft.com/office/drawing/2014/main" id="{8F58174B-3F3E-4347-8F82-66349377EEC4}"/>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3" name="Shape 11">
          <a:extLst>
            <a:ext uri="{FF2B5EF4-FFF2-40B4-BE49-F238E27FC236}">
              <a16:creationId xmlns:a16="http://schemas.microsoft.com/office/drawing/2014/main" id="{61930C33-AB64-409E-AB35-341808D36FF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4" name="Shape 11">
          <a:extLst>
            <a:ext uri="{FF2B5EF4-FFF2-40B4-BE49-F238E27FC236}">
              <a16:creationId xmlns:a16="http://schemas.microsoft.com/office/drawing/2014/main" id="{AE17007B-1AF3-4F43-BEB2-BCD5351E294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5" name="Shape 11">
          <a:extLst>
            <a:ext uri="{FF2B5EF4-FFF2-40B4-BE49-F238E27FC236}">
              <a16:creationId xmlns:a16="http://schemas.microsoft.com/office/drawing/2014/main" id="{E057E8EC-110A-409B-89FF-AA168F01137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6" name="Shape 11">
          <a:extLst>
            <a:ext uri="{FF2B5EF4-FFF2-40B4-BE49-F238E27FC236}">
              <a16:creationId xmlns:a16="http://schemas.microsoft.com/office/drawing/2014/main" id="{439C1D15-A5C9-4E63-A033-0FCD74562FA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7" name="Shape 11">
          <a:extLst>
            <a:ext uri="{FF2B5EF4-FFF2-40B4-BE49-F238E27FC236}">
              <a16:creationId xmlns:a16="http://schemas.microsoft.com/office/drawing/2014/main" id="{A082D8AE-0D60-4FEA-83F2-14313CBB38A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8" name="Shape 10">
          <a:extLst>
            <a:ext uri="{FF2B5EF4-FFF2-40B4-BE49-F238E27FC236}">
              <a16:creationId xmlns:a16="http://schemas.microsoft.com/office/drawing/2014/main" id="{9A0E4500-4F83-481B-A815-C597D6419048}"/>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9" name="Shape 11">
          <a:extLst>
            <a:ext uri="{FF2B5EF4-FFF2-40B4-BE49-F238E27FC236}">
              <a16:creationId xmlns:a16="http://schemas.microsoft.com/office/drawing/2014/main" id="{3D748D85-7A25-430A-AFDE-F8D1C35ED1B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0" name="Shape 13">
          <a:extLst>
            <a:ext uri="{FF2B5EF4-FFF2-40B4-BE49-F238E27FC236}">
              <a16:creationId xmlns:a16="http://schemas.microsoft.com/office/drawing/2014/main" id="{434F49E6-359A-42B0-931F-595D9AF48165}"/>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1" name="Shape 14">
          <a:extLst>
            <a:ext uri="{FF2B5EF4-FFF2-40B4-BE49-F238E27FC236}">
              <a16:creationId xmlns:a16="http://schemas.microsoft.com/office/drawing/2014/main" id="{46635733-6F6D-41D8-8FA3-D336179FE34E}"/>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2" name="Shape 10">
          <a:extLst>
            <a:ext uri="{FF2B5EF4-FFF2-40B4-BE49-F238E27FC236}">
              <a16:creationId xmlns:a16="http://schemas.microsoft.com/office/drawing/2014/main" id="{FDACE21D-C309-453A-8F82-3DC39020707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3" name="Shape 12">
          <a:extLst>
            <a:ext uri="{FF2B5EF4-FFF2-40B4-BE49-F238E27FC236}">
              <a16:creationId xmlns:a16="http://schemas.microsoft.com/office/drawing/2014/main" id="{20E52808-51C3-485F-8B97-56D98C7BD943}"/>
            </a:ext>
          </a:extLst>
        </xdr:cNvPr>
        <xdr:cNvSpPr txBox="1"/>
      </xdr:nvSpPr>
      <xdr:spPr>
        <a:xfrm>
          <a:off x="0" y="89058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4" name="Shape 11">
          <a:extLst>
            <a:ext uri="{FF2B5EF4-FFF2-40B4-BE49-F238E27FC236}">
              <a16:creationId xmlns:a16="http://schemas.microsoft.com/office/drawing/2014/main" id="{1F3861E7-7843-4330-9FE0-1FD33FD526D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5" name="Shape 10">
          <a:extLst>
            <a:ext uri="{FF2B5EF4-FFF2-40B4-BE49-F238E27FC236}">
              <a16:creationId xmlns:a16="http://schemas.microsoft.com/office/drawing/2014/main" id="{DD315CF3-DB37-4455-AA0C-4B44D673C7E8}"/>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6" name="Shape 11">
          <a:extLst>
            <a:ext uri="{FF2B5EF4-FFF2-40B4-BE49-F238E27FC236}">
              <a16:creationId xmlns:a16="http://schemas.microsoft.com/office/drawing/2014/main" id="{1A253F26-7879-497E-940C-6C6064C78E2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7" name="Shape 11">
          <a:extLst>
            <a:ext uri="{FF2B5EF4-FFF2-40B4-BE49-F238E27FC236}">
              <a16:creationId xmlns:a16="http://schemas.microsoft.com/office/drawing/2014/main" id="{3F32D83D-FE9B-4D6E-A361-CC7B7B4E107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8" name="Shape 11">
          <a:extLst>
            <a:ext uri="{FF2B5EF4-FFF2-40B4-BE49-F238E27FC236}">
              <a16:creationId xmlns:a16="http://schemas.microsoft.com/office/drawing/2014/main" id="{CA38767E-30BF-41D3-8F60-306D7AC39E5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9" name="Shape 11">
          <a:extLst>
            <a:ext uri="{FF2B5EF4-FFF2-40B4-BE49-F238E27FC236}">
              <a16:creationId xmlns:a16="http://schemas.microsoft.com/office/drawing/2014/main" id="{E0508443-1C0B-4CB7-A9B6-130DD7DD74C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0" name="Shape 11">
          <a:extLst>
            <a:ext uri="{FF2B5EF4-FFF2-40B4-BE49-F238E27FC236}">
              <a16:creationId xmlns:a16="http://schemas.microsoft.com/office/drawing/2014/main" id="{BB45E678-63F7-461D-A279-D79BC1259DF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1" name="Shape 10">
          <a:extLst>
            <a:ext uri="{FF2B5EF4-FFF2-40B4-BE49-F238E27FC236}">
              <a16:creationId xmlns:a16="http://schemas.microsoft.com/office/drawing/2014/main" id="{FF21BD47-194E-4408-B8E9-7334651AD340}"/>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2" name="Shape 11">
          <a:extLst>
            <a:ext uri="{FF2B5EF4-FFF2-40B4-BE49-F238E27FC236}">
              <a16:creationId xmlns:a16="http://schemas.microsoft.com/office/drawing/2014/main" id="{E0068CBF-0DB9-472A-AD7E-1EF79825B63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3" name="Shape 11">
          <a:extLst>
            <a:ext uri="{FF2B5EF4-FFF2-40B4-BE49-F238E27FC236}">
              <a16:creationId xmlns:a16="http://schemas.microsoft.com/office/drawing/2014/main" id="{FD8CCC04-B1C2-44FA-B060-50AEF327035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4" name="Shape 11">
          <a:extLst>
            <a:ext uri="{FF2B5EF4-FFF2-40B4-BE49-F238E27FC236}">
              <a16:creationId xmlns:a16="http://schemas.microsoft.com/office/drawing/2014/main" id="{9B260242-A3CE-4C10-9360-50EB9F6C8F7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5" name="Shape 11">
          <a:extLst>
            <a:ext uri="{FF2B5EF4-FFF2-40B4-BE49-F238E27FC236}">
              <a16:creationId xmlns:a16="http://schemas.microsoft.com/office/drawing/2014/main" id="{44EDFD16-74AB-4D12-8F46-A6CA6340E04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6" name="Shape 11">
          <a:extLst>
            <a:ext uri="{FF2B5EF4-FFF2-40B4-BE49-F238E27FC236}">
              <a16:creationId xmlns:a16="http://schemas.microsoft.com/office/drawing/2014/main" id="{4927CAE8-07DE-42D3-96A2-8CA111E56D6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7" name="Shape 10">
          <a:extLst>
            <a:ext uri="{FF2B5EF4-FFF2-40B4-BE49-F238E27FC236}">
              <a16:creationId xmlns:a16="http://schemas.microsoft.com/office/drawing/2014/main" id="{1EB474E5-675A-4BE1-BCDC-8F2E7F821D33}"/>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8" name="Shape 11">
          <a:extLst>
            <a:ext uri="{FF2B5EF4-FFF2-40B4-BE49-F238E27FC236}">
              <a16:creationId xmlns:a16="http://schemas.microsoft.com/office/drawing/2014/main" id="{8D356D9A-9C66-4B38-AF4D-E7DECD7FB84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9" name="Shape 11">
          <a:extLst>
            <a:ext uri="{FF2B5EF4-FFF2-40B4-BE49-F238E27FC236}">
              <a16:creationId xmlns:a16="http://schemas.microsoft.com/office/drawing/2014/main" id="{792FF097-A42E-4AB3-8F42-9826C2350B5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0" name="Shape 11">
          <a:extLst>
            <a:ext uri="{FF2B5EF4-FFF2-40B4-BE49-F238E27FC236}">
              <a16:creationId xmlns:a16="http://schemas.microsoft.com/office/drawing/2014/main" id="{70F0A0A2-A3FE-494B-8A79-C76076ABAF5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1" name="Shape 11">
          <a:extLst>
            <a:ext uri="{FF2B5EF4-FFF2-40B4-BE49-F238E27FC236}">
              <a16:creationId xmlns:a16="http://schemas.microsoft.com/office/drawing/2014/main" id="{EDB89F20-A7BA-47E7-BBA6-A49E35B986A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2" name="Shape 11">
          <a:extLst>
            <a:ext uri="{FF2B5EF4-FFF2-40B4-BE49-F238E27FC236}">
              <a16:creationId xmlns:a16="http://schemas.microsoft.com/office/drawing/2014/main" id="{C03E10F9-2FC2-404B-97E8-CEF8C5FEF0B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3" name="Shape 10">
          <a:extLst>
            <a:ext uri="{FF2B5EF4-FFF2-40B4-BE49-F238E27FC236}">
              <a16:creationId xmlns:a16="http://schemas.microsoft.com/office/drawing/2014/main" id="{CC3DAEAF-307E-4597-B404-C9E64AA2F69C}"/>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4" name="Shape 11">
          <a:extLst>
            <a:ext uri="{FF2B5EF4-FFF2-40B4-BE49-F238E27FC236}">
              <a16:creationId xmlns:a16="http://schemas.microsoft.com/office/drawing/2014/main" id="{E4498773-65B3-4438-B2BE-57092739A4A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5" name="Shape 11">
          <a:extLst>
            <a:ext uri="{FF2B5EF4-FFF2-40B4-BE49-F238E27FC236}">
              <a16:creationId xmlns:a16="http://schemas.microsoft.com/office/drawing/2014/main" id="{B57388C9-A396-487C-B0F0-039364F342E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6" name="Shape 11">
          <a:extLst>
            <a:ext uri="{FF2B5EF4-FFF2-40B4-BE49-F238E27FC236}">
              <a16:creationId xmlns:a16="http://schemas.microsoft.com/office/drawing/2014/main" id="{A438D7EF-BB6B-4792-8189-2986DE63105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7" name="Shape 11">
          <a:extLst>
            <a:ext uri="{FF2B5EF4-FFF2-40B4-BE49-F238E27FC236}">
              <a16:creationId xmlns:a16="http://schemas.microsoft.com/office/drawing/2014/main" id="{39307F6B-389B-425F-AA9F-7CE0711F1A5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8" name="Shape 11">
          <a:extLst>
            <a:ext uri="{FF2B5EF4-FFF2-40B4-BE49-F238E27FC236}">
              <a16:creationId xmlns:a16="http://schemas.microsoft.com/office/drawing/2014/main" id="{27C166C4-FC9D-426C-9558-E53503E62AD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9" name="Shape 10">
          <a:extLst>
            <a:ext uri="{FF2B5EF4-FFF2-40B4-BE49-F238E27FC236}">
              <a16:creationId xmlns:a16="http://schemas.microsoft.com/office/drawing/2014/main" id="{AF23F0AA-846C-4DCC-925D-D47C5B621E7D}"/>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0" name="Shape 11">
          <a:extLst>
            <a:ext uri="{FF2B5EF4-FFF2-40B4-BE49-F238E27FC236}">
              <a16:creationId xmlns:a16="http://schemas.microsoft.com/office/drawing/2014/main" id="{54F5D924-0D15-4C8B-BC22-4B78AAEBFAD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1" name="Shape 11">
          <a:extLst>
            <a:ext uri="{FF2B5EF4-FFF2-40B4-BE49-F238E27FC236}">
              <a16:creationId xmlns:a16="http://schemas.microsoft.com/office/drawing/2014/main" id="{678E624D-B400-498E-A6B6-621ACEA752D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2" name="Shape 11">
          <a:extLst>
            <a:ext uri="{FF2B5EF4-FFF2-40B4-BE49-F238E27FC236}">
              <a16:creationId xmlns:a16="http://schemas.microsoft.com/office/drawing/2014/main" id="{B83FEF5F-ACC5-4357-AF53-49EBEAA1389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3" name="Shape 11">
          <a:extLst>
            <a:ext uri="{FF2B5EF4-FFF2-40B4-BE49-F238E27FC236}">
              <a16:creationId xmlns:a16="http://schemas.microsoft.com/office/drawing/2014/main" id="{71C64DF8-9595-46D4-A116-C90AE2FBDF4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4" name="Shape 11">
          <a:extLst>
            <a:ext uri="{FF2B5EF4-FFF2-40B4-BE49-F238E27FC236}">
              <a16:creationId xmlns:a16="http://schemas.microsoft.com/office/drawing/2014/main" id="{CB853BF8-947D-4632-A59A-8CD5133B962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05" name="Shape 10">
          <a:extLst>
            <a:ext uri="{FF2B5EF4-FFF2-40B4-BE49-F238E27FC236}">
              <a16:creationId xmlns:a16="http://schemas.microsoft.com/office/drawing/2014/main" id="{817E730B-2FFF-4FE3-934A-108C7B6071B9}"/>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6" name="Shape 11">
          <a:extLst>
            <a:ext uri="{FF2B5EF4-FFF2-40B4-BE49-F238E27FC236}">
              <a16:creationId xmlns:a16="http://schemas.microsoft.com/office/drawing/2014/main" id="{6311ED6E-789A-427F-A033-C5A6B49709C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7" name="Shape 11">
          <a:extLst>
            <a:ext uri="{FF2B5EF4-FFF2-40B4-BE49-F238E27FC236}">
              <a16:creationId xmlns:a16="http://schemas.microsoft.com/office/drawing/2014/main" id="{3D5EE23C-A9FB-4FE0-8F73-9BA8592D34A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8" name="Shape 11">
          <a:extLst>
            <a:ext uri="{FF2B5EF4-FFF2-40B4-BE49-F238E27FC236}">
              <a16:creationId xmlns:a16="http://schemas.microsoft.com/office/drawing/2014/main" id="{C76D4F71-EAC7-4059-AFC7-92E788F0F6C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9" name="Shape 11">
          <a:extLst>
            <a:ext uri="{FF2B5EF4-FFF2-40B4-BE49-F238E27FC236}">
              <a16:creationId xmlns:a16="http://schemas.microsoft.com/office/drawing/2014/main" id="{A20BBEB7-B943-4F7F-AFA7-0F8F721AAE2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0" name="Shape 11">
          <a:extLst>
            <a:ext uri="{FF2B5EF4-FFF2-40B4-BE49-F238E27FC236}">
              <a16:creationId xmlns:a16="http://schemas.microsoft.com/office/drawing/2014/main" id="{955A5BA7-9ADC-4C3A-9E18-AFDF0FD3BD4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1" name="Shape 10">
          <a:extLst>
            <a:ext uri="{FF2B5EF4-FFF2-40B4-BE49-F238E27FC236}">
              <a16:creationId xmlns:a16="http://schemas.microsoft.com/office/drawing/2014/main" id="{39AB24BE-04AE-4FAD-906F-D739C758A313}"/>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2" name="Shape 11">
          <a:extLst>
            <a:ext uri="{FF2B5EF4-FFF2-40B4-BE49-F238E27FC236}">
              <a16:creationId xmlns:a16="http://schemas.microsoft.com/office/drawing/2014/main" id="{4B75560C-8340-41C3-97E2-7A7C0927605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3" name="Shape 13">
          <a:extLst>
            <a:ext uri="{FF2B5EF4-FFF2-40B4-BE49-F238E27FC236}">
              <a16:creationId xmlns:a16="http://schemas.microsoft.com/office/drawing/2014/main" id="{33803616-3869-4B2F-88CB-023A50D2B57D}"/>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4" name="Shape 14">
          <a:extLst>
            <a:ext uri="{FF2B5EF4-FFF2-40B4-BE49-F238E27FC236}">
              <a16:creationId xmlns:a16="http://schemas.microsoft.com/office/drawing/2014/main" id="{B92CBDB6-92E7-4050-BAD3-317307160584}"/>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5" name="Shape 10">
          <a:extLst>
            <a:ext uri="{FF2B5EF4-FFF2-40B4-BE49-F238E27FC236}">
              <a16:creationId xmlns:a16="http://schemas.microsoft.com/office/drawing/2014/main" id="{CF9F7C45-1C7D-4478-A4C4-B7477F971B9C}"/>
            </a:ext>
          </a:extLst>
        </xdr:cNvPr>
        <xdr:cNvSpPr txBox="1"/>
      </xdr:nvSpPr>
      <xdr:spPr>
        <a:xfrm>
          <a:off x="4124325" y="181356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6" name="Shape 14">
          <a:extLst>
            <a:ext uri="{FF2B5EF4-FFF2-40B4-BE49-F238E27FC236}">
              <a16:creationId xmlns:a16="http://schemas.microsoft.com/office/drawing/2014/main" id="{B9831253-F950-4523-84A7-835D6D56CB16}"/>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7" name="Shape 11">
          <a:extLst>
            <a:ext uri="{FF2B5EF4-FFF2-40B4-BE49-F238E27FC236}">
              <a16:creationId xmlns:a16="http://schemas.microsoft.com/office/drawing/2014/main" id="{C021AAD5-0F09-4C7F-89FC-D7B12867834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8" name="Shape 10">
          <a:extLst>
            <a:ext uri="{FF2B5EF4-FFF2-40B4-BE49-F238E27FC236}">
              <a16:creationId xmlns:a16="http://schemas.microsoft.com/office/drawing/2014/main" id="{C72E70D3-96D1-48C2-A20D-6578BC5AAD90}"/>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9" name="Shape 11">
          <a:extLst>
            <a:ext uri="{FF2B5EF4-FFF2-40B4-BE49-F238E27FC236}">
              <a16:creationId xmlns:a16="http://schemas.microsoft.com/office/drawing/2014/main" id="{FE9D7EA5-AB74-4B6C-86D4-FC802E0FA11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0" name="Shape 11">
          <a:extLst>
            <a:ext uri="{FF2B5EF4-FFF2-40B4-BE49-F238E27FC236}">
              <a16:creationId xmlns:a16="http://schemas.microsoft.com/office/drawing/2014/main" id="{D3FCBBD2-7444-4968-B96F-F61A7FDFF55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1" name="Shape 11">
          <a:extLst>
            <a:ext uri="{FF2B5EF4-FFF2-40B4-BE49-F238E27FC236}">
              <a16:creationId xmlns:a16="http://schemas.microsoft.com/office/drawing/2014/main" id="{A43731EC-9C6D-471F-8E6A-689BB6D0146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2" name="Shape 11">
          <a:extLst>
            <a:ext uri="{FF2B5EF4-FFF2-40B4-BE49-F238E27FC236}">
              <a16:creationId xmlns:a16="http://schemas.microsoft.com/office/drawing/2014/main" id="{EBE17911-AF21-46BF-ACAF-65592B605CA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3" name="Shape 11">
          <a:extLst>
            <a:ext uri="{FF2B5EF4-FFF2-40B4-BE49-F238E27FC236}">
              <a16:creationId xmlns:a16="http://schemas.microsoft.com/office/drawing/2014/main" id="{B4D338F8-318C-4E0A-8FEC-FE50944815B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24" name="Shape 10">
          <a:extLst>
            <a:ext uri="{FF2B5EF4-FFF2-40B4-BE49-F238E27FC236}">
              <a16:creationId xmlns:a16="http://schemas.microsoft.com/office/drawing/2014/main" id="{54F81888-6496-48CE-8FB0-4F28D13596DB}"/>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5" name="Shape 11">
          <a:extLst>
            <a:ext uri="{FF2B5EF4-FFF2-40B4-BE49-F238E27FC236}">
              <a16:creationId xmlns:a16="http://schemas.microsoft.com/office/drawing/2014/main" id="{CF373842-084F-4A24-BE72-132CB1AC6FF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6" name="Shape 11">
          <a:extLst>
            <a:ext uri="{FF2B5EF4-FFF2-40B4-BE49-F238E27FC236}">
              <a16:creationId xmlns:a16="http://schemas.microsoft.com/office/drawing/2014/main" id="{2BCCD040-E4A5-4AEE-BB86-815AF6C32C9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7" name="Shape 11">
          <a:extLst>
            <a:ext uri="{FF2B5EF4-FFF2-40B4-BE49-F238E27FC236}">
              <a16:creationId xmlns:a16="http://schemas.microsoft.com/office/drawing/2014/main" id="{0ED55B42-F822-4DAE-97E3-C22804BF9C1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8" name="Shape 11">
          <a:extLst>
            <a:ext uri="{FF2B5EF4-FFF2-40B4-BE49-F238E27FC236}">
              <a16:creationId xmlns:a16="http://schemas.microsoft.com/office/drawing/2014/main" id="{065AD2CF-7F75-4BA4-B51B-54FCD7E33D6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9" name="Shape 11">
          <a:extLst>
            <a:ext uri="{FF2B5EF4-FFF2-40B4-BE49-F238E27FC236}">
              <a16:creationId xmlns:a16="http://schemas.microsoft.com/office/drawing/2014/main" id="{CEAB7F12-76C7-44E3-AD4E-B70A8195010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0" name="Shape 10">
          <a:extLst>
            <a:ext uri="{FF2B5EF4-FFF2-40B4-BE49-F238E27FC236}">
              <a16:creationId xmlns:a16="http://schemas.microsoft.com/office/drawing/2014/main" id="{FAD5B222-CAF2-462D-BBE5-C9BC3D6D4F95}"/>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1" name="Shape 11">
          <a:extLst>
            <a:ext uri="{FF2B5EF4-FFF2-40B4-BE49-F238E27FC236}">
              <a16:creationId xmlns:a16="http://schemas.microsoft.com/office/drawing/2014/main" id="{C8A085A9-375C-4E30-A1BC-AA53CD4B175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2" name="Shape 11">
          <a:extLst>
            <a:ext uri="{FF2B5EF4-FFF2-40B4-BE49-F238E27FC236}">
              <a16:creationId xmlns:a16="http://schemas.microsoft.com/office/drawing/2014/main" id="{2A38526F-8C70-41D0-9BBC-AA923A13EA4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3" name="Shape 11">
          <a:extLst>
            <a:ext uri="{FF2B5EF4-FFF2-40B4-BE49-F238E27FC236}">
              <a16:creationId xmlns:a16="http://schemas.microsoft.com/office/drawing/2014/main" id="{060381D4-B57D-49DD-992F-1D1C1CDC937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4" name="Shape 11">
          <a:extLst>
            <a:ext uri="{FF2B5EF4-FFF2-40B4-BE49-F238E27FC236}">
              <a16:creationId xmlns:a16="http://schemas.microsoft.com/office/drawing/2014/main" id="{14531163-9C26-402B-AF72-22E40E86FFE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5" name="Shape 11">
          <a:extLst>
            <a:ext uri="{FF2B5EF4-FFF2-40B4-BE49-F238E27FC236}">
              <a16:creationId xmlns:a16="http://schemas.microsoft.com/office/drawing/2014/main" id="{3D3166AD-FA78-402F-8AD1-B58E3A7F176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6" name="Shape 10">
          <a:extLst>
            <a:ext uri="{FF2B5EF4-FFF2-40B4-BE49-F238E27FC236}">
              <a16:creationId xmlns:a16="http://schemas.microsoft.com/office/drawing/2014/main" id="{6A9AF0E3-5D00-4363-BC01-F07A0D50E29D}"/>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7" name="Shape 11">
          <a:extLst>
            <a:ext uri="{FF2B5EF4-FFF2-40B4-BE49-F238E27FC236}">
              <a16:creationId xmlns:a16="http://schemas.microsoft.com/office/drawing/2014/main" id="{EA2F00BA-53E7-4A0E-B903-083C431E35D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8" name="Shape 11">
          <a:extLst>
            <a:ext uri="{FF2B5EF4-FFF2-40B4-BE49-F238E27FC236}">
              <a16:creationId xmlns:a16="http://schemas.microsoft.com/office/drawing/2014/main" id="{8B4DDE3F-18A4-40B6-AB38-268422ECC69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9" name="Shape 11">
          <a:extLst>
            <a:ext uri="{FF2B5EF4-FFF2-40B4-BE49-F238E27FC236}">
              <a16:creationId xmlns:a16="http://schemas.microsoft.com/office/drawing/2014/main" id="{40E60632-2B28-4648-BF65-E737C3C0E7A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0" name="Shape 11">
          <a:extLst>
            <a:ext uri="{FF2B5EF4-FFF2-40B4-BE49-F238E27FC236}">
              <a16:creationId xmlns:a16="http://schemas.microsoft.com/office/drawing/2014/main" id="{EB66A425-6AB9-45B4-92E4-79FA6829AF5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1" name="Shape 11">
          <a:extLst>
            <a:ext uri="{FF2B5EF4-FFF2-40B4-BE49-F238E27FC236}">
              <a16:creationId xmlns:a16="http://schemas.microsoft.com/office/drawing/2014/main" id="{229B5FC3-A2C4-4D24-9FF1-84119E74B25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2" name="Shape 10">
          <a:extLst>
            <a:ext uri="{FF2B5EF4-FFF2-40B4-BE49-F238E27FC236}">
              <a16:creationId xmlns:a16="http://schemas.microsoft.com/office/drawing/2014/main" id="{7C4B00AB-A20B-47DE-8AEB-68BFE4D9EDBF}"/>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3" name="Shape 11">
          <a:extLst>
            <a:ext uri="{FF2B5EF4-FFF2-40B4-BE49-F238E27FC236}">
              <a16:creationId xmlns:a16="http://schemas.microsoft.com/office/drawing/2014/main" id="{04FCDFAB-AAB0-4676-8A8D-4477282D5DC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4" name="Shape 11">
          <a:extLst>
            <a:ext uri="{FF2B5EF4-FFF2-40B4-BE49-F238E27FC236}">
              <a16:creationId xmlns:a16="http://schemas.microsoft.com/office/drawing/2014/main" id="{DB533A68-574A-4794-8DDD-991D4667676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5" name="Shape 11">
          <a:extLst>
            <a:ext uri="{FF2B5EF4-FFF2-40B4-BE49-F238E27FC236}">
              <a16:creationId xmlns:a16="http://schemas.microsoft.com/office/drawing/2014/main" id="{01CD6EBD-4025-49BD-93BE-2548CC22E20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6" name="Shape 11">
          <a:extLst>
            <a:ext uri="{FF2B5EF4-FFF2-40B4-BE49-F238E27FC236}">
              <a16:creationId xmlns:a16="http://schemas.microsoft.com/office/drawing/2014/main" id="{B2CFB7B1-A5E9-4505-BB36-E43E5A0A79D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7" name="Shape 11">
          <a:extLst>
            <a:ext uri="{FF2B5EF4-FFF2-40B4-BE49-F238E27FC236}">
              <a16:creationId xmlns:a16="http://schemas.microsoft.com/office/drawing/2014/main" id="{8E2A5009-3DB1-4E5F-985A-40A12ED9CCB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8" name="Shape 10">
          <a:extLst>
            <a:ext uri="{FF2B5EF4-FFF2-40B4-BE49-F238E27FC236}">
              <a16:creationId xmlns:a16="http://schemas.microsoft.com/office/drawing/2014/main" id="{381E0C92-649A-40A9-BEF3-31A2A6B73245}"/>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9" name="Shape 11">
          <a:extLst>
            <a:ext uri="{FF2B5EF4-FFF2-40B4-BE49-F238E27FC236}">
              <a16:creationId xmlns:a16="http://schemas.microsoft.com/office/drawing/2014/main" id="{5FD6F55E-6203-4217-851C-A8ED0729728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0" name="Shape 11">
          <a:extLst>
            <a:ext uri="{FF2B5EF4-FFF2-40B4-BE49-F238E27FC236}">
              <a16:creationId xmlns:a16="http://schemas.microsoft.com/office/drawing/2014/main" id="{4E415929-4BDF-416C-B176-1D30C619177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1" name="Shape 11">
          <a:extLst>
            <a:ext uri="{FF2B5EF4-FFF2-40B4-BE49-F238E27FC236}">
              <a16:creationId xmlns:a16="http://schemas.microsoft.com/office/drawing/2014/main" id="{3F1E6762-F2C7-4982-806D-319D14F69B6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2" name="Shape 11">
          <a:extLst>
            <a:ext uri="{FF2B5EF4-FFF2-40B4-BE49-F238E27FC236}">
              <a16:creationId xmlns:a16="http://schemas.microsoft.com/office/drawing/2014/main" id="{983A6C0A-EBBE-4227-A60A-214896A7882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3" name="Shape 11">
          <a:extLst>
            <a:ext uri="{FF2B5EF4-FFF2-40B4-BE49-F238E27FC236}">
              <a16:creationId xmlns:a16="http://schemas.microsoft.com/office/drawing/2014/main" id="{00CDCC2D-722D-4B75-AD60-D3DEC3E134C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4" name="Shape 10">
          <a:extLst>
            <a:ext uri="{FF2B5EF4-FFF2-40B4-BE49-F238E27FC236}">
              <a16:creationId xmlns:a16="http://schemas.microsoft.com/office/drawing/2014/main" id="{1C6421B9-F85E-4772-88B4-FF36EDBEFC02}"/>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5" name="Shape 11">
          <a:extLst>
            <a:ext uri="{FF2B5EF4-FFF2-40B4-BE49-F238E27FC236}">
              <a16:creationId xmlns:a16="http://schemas.microsoft.com/office/drawing/2014/main" id="{D4951E01-E228-4B1C-AF62-EF899990A0E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6" name="Shape 13">
          <a:extLst>
            <a:ext uri="{FF2B5EF4-FFF2-40B4-BE49-F238E27FC236}">
              <a16:creationId xmlns:a16="http://schemas.microsoft.com/office/drawing/2014/main" id="{C3AA7695-0B95-4F90-AF28-0C316864FB10}"/>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7" name="Shape 14">
          <a:extLst>
            <a:ext uri="{FF2B5EF4-FFF2-40B4-BE49-F238E27FC236}">
              <a16:creationId xmlns:a16="http://schemas.microsoft.com/office/drawing/2014/main" id="{BECA26CC-8F9F-4D2F-A368-A2762781DE7A}"/>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8" name="Shape 10">
          <a:extLst>
            <a:ext uri="{FF2B5EF4-FFF2-40B4-BE49-F238E27FC236}">
              <a16:creationId xmlns:a16="http://schemas.microsoft.com/office/drawing/2014/main" id="{77C64DAD-9BBC-4E5B-9E85-D2AAA03FABD5}"/>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9" name="Shape 12">
          <a:extLst>
            <a:ext uri="{FF2B5EF4-FFF2-40B4-BE49-F238E27FC236}">
              <a16:creationId xmlns:a16="http://schemas.microsoft.com/office/drawing/2014/main" id="{4F6BC6EA-18AF-46C1-AF33-E1A4611F45E5}"/>
            </a:ext>
          </a:extLst>
        </xdr:cNvPr>
        <xdr:cNvSpPr txBox="1"/>
      </xdr:nvSpPr>
      <xdr:spPr>
        <a:xfrm>
          <a:off x="0" y="179736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0" name="Shape 11">
          <a:extLst>
            <a:ext uri="{FF2B5EF4-FFF2-40B4-BE49-F238E27FC236}">
              <a16:creationId xmlns:a16="http://schemas.microsoft.com/office/drawing/2014/main" id="{860BE37A-7698-4865-9384-3EDE69E40BB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1" name="Shape 10">
          <a:extLst>
            <a:ext uri="{FF2B5EF4-FFF2-40B4-BE49-F238E27FC236}">
              <a16:creationId xmlns:a16="http://schemas.microsoft.com/office/drawing/2014/main" id="{ABA07684-B1B6-4C2A-BACD-EE257DE706DA}"/>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2" name="Shape 11">
          <a:extLst>
            <a:ext uri="{FF2B5EF4-FFF2-40B4-BE49-F238E27FC236}">
              <a16:creationId xmlns:a16="http://schemas.microsoft.com/office/drawing/2014/main" id="{500A0B6D-DF52-49CE-AB54-8C916AE7F7C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3" name="Shape 11">
          <a:extLst>
            <a:ext uri="{FF2B5EF4-FFF2-40B4-BE49-F238E27FC236}">
              <a16:creationId xmlns:a16="http://schemas.microsoft.com/office/drawing/2014/main" id="{EE7FC255-124D-4A59-BBA7-BC5B4297E32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4" name="Shape 11">
          <a:extLst>
            <a:ext uri="{FF2B5EF4-FFF2-40B4-BE49-F238E27FC236}">
              <a16:creationId xmlns:a16="http://schemas.microsoft.com/office/drawing/2014/main" id="{C9845541-520A-469D-A3EE-63644794BBB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5" name="Shape 11">
          <a:extLst>
            <a:ext uri="{FF2B5EF4-FFF2-40B4-BE49-F238E27FC236}">
              <a16:creationId xmlns:a16="http://schemas.microsoft.com/office/drawing/2014/main" id="{53482303-CF39-470D-A84A-83B4192CA2A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6" name="Shape 11">
          <a:extLst>
            <a:ext uri="{FF2B5EF4-FFF2-40B4-BE49-F238E27FC236}">
              <a16:creationId xmlns:a16="http://schemas.microsoft.com/office/drawing/2014/main" id="{9B3FE764-E929-40DD-826D-B4991C4B333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7" name="Shape 10">
          <a:extLst>
            <a:ext uri="{FF2B5EF4-FFF2-40B4-BE49-F238E27FC236}">
              <a16:creationId xmlns:a16="http://schemas.microsoft.com/office/drawing/2014/main" id="{52615176-FBCC-4810-A42B-C08854F03FAF}"/>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8" name="Shape 11">
          <a:extLst>
            <a:ext uri="{FF2B5EF4-FFF2-40B4-BE49-F238E27FC236}">
              <a16:creationId xmlns:a16="http://schemas.microsoft.com/office/drawing/2014/main" id="{D6FA0C5D-818C-40D1-BAE6-64E0DBA75FA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9" name="Shape 11">
          <a:extLst>
            <a:ext uri="{FF2B5EF4-FFF2-40B4-BE49-F238E27FC236}">
              <a16:creationId xmlns:a16="http://schemas.microsoft.com/office/drawing/2014/main" id="{9B5BC0F9-50F6-4C3E-BBAA-E54B05788F3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0" name="Shape 11">
          <a:extLst>
            <a:ext uri="{FF2B5EF4-FFF2-40B4-BE49-F238E27FC236}">
              <a16:creationId xmlns:a16="http://schemas.microsoft.com/office/drawing/2014/main" id="{18C515C2-B63F-4C85-BA9D-B6FAA7F5ECA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1" name="Shape 11">
          <a:extLst>
            <a:ext uri="{FF2B5EF4-FFF2-40B4-BE49-F238E27FC236}">
              <a16:creationId xmlns:a16="http://schemas.microsoft.com/office/drawing/2014/main" id="{901A42BA-D906-4644-AADE-6FABDA709B9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2" name="Shape 11">
          <a:extLst>
            <a:ext uri="{FF2B5EF4-FFF2-40B4-BE49-F238E27FC236}">
              <a16:creationId xmlns:a16="http://schemas.microsoft.com/office/drawing/2014/main" id="{67EB5741-5ED5-4C00-B728-55FDC8EC1F9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3" name="Shape 10">
          <a:extLst>
            <a:ext uri="{FF2B5EF4-FFF2-40B4-BE49-F238E27FC236}">
              <a16:creationId xmlns:a16="http://schemas.microsoft.com/office/drawing/2014/main" id="{25D1EA03-E758-42EA-BF94-0B1B08E68CCD}"/>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4" name="Shape 11">
          <a:extLst>
            <a:ext uri="{FF2B5EF4-FFF2-40B4-BE49-F238E27FC236}">
              <a16:creationId xmlns:a16="http://schemas.microsoft.com/office/drawing/2014/main" id="{66B78C1E-6876-4994-BD1F-D991CFA7515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5" name="Shape 11">
          <a:extLst>
            <a:ext uri="{FF2B5EF4-FFF2-40B4-BE49-F238E27FC236}">
              <a16:creationId xmlns:a16="http://schemas.microsoft.com/office/drawing/2014/main" id="{2E06456E-E00F-42D4-9693-151CA6FA594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6" name="Shape 11">
          <a:extLst>
            <a:ext uri="{FF2B5EF4-FFF2-40B4-BE49-F238E27FC236}">
              <a16:creationId xmlns:a16="http://schemas.microsoft.com/office/drawing/2014/main" id="{E20FE045-1201-40A9-96A3-330CA85BA7B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7" name="Shape 11">
          <a:extLst>
            <a:ext uri="{FF2B5EF4-FFF2-40B4-BE49-F238E27FC236}">
              <a16:creationId xmlns:a16="http://schemas.microsoft.com/office/drawing/2014/main" id="{58C4CFF7-18C3-436F-8321-2F88C403BC4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8" name="Shape 11">
          <a:extLst>
            <a:ext uri="{FF2B5EF4-FFF2-40B4-BE49-F238E27FC236}">
              <a16:creationId xmlns:a16="http://schemas.microsoft.com/office/drawing/2014/main" id="{1DBEF469-8A35-48D3-A07F-98D4E22FE91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9" name="Shape 10">
          <a:extLst>
            <a:ext uri="{FF2B5EF4-FFF2-40B4-BE49-F238E27FC236}">
              <a16:creationId xmlns:a16="http://schemas.microsoft.com/office/drawing/2014/main" id="{AAFEE20B-D93B-4DA6-A806-59A41BE5B81A}"/>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0" name="Shape 11">
          <a:extLst>
            <a:ext uri="{FF2B5EF4-FFF2-40B4-BE49-F238E27FC236}">
              <a16:creationId xmlns:a16="http://schemas.microsoft.com/office/drawing/2014/main" id="{40619B1D-2026-4C4D-A6F6-00F2E2A71ED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1" name="Shape 11">
          <a:extLst>
            <a:ext uri="{FF2B5EF4-FFF2-40B4-BE49-F238E27FC236}">
              <a16:creationId xmlns:a16="http://schemas.microsoft.com/office/drawing/2014/main" id="{5ECFE771-E9EA-4CEF-A5EA-0F8500C7BD7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2" name="Shape 11">
          <a:extLst>
            <a:ext uri="{FF2B5EF4-FFF2-40B4-BE49-F238E27FC236}">
              <a16:creationId xmlns:a16="http://schemas.microsoft.com/office/drawing/2014/main" id="{9F9AB4F5-7BDA-40A1-81DD-493E04324B2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3" name="Shape 11">
          <a:extLst>
            <a:ext uri="{FF2B5EF4-FFF2-40B4-BE49-F238E27FC236}">
              <a16:creationId xmlns:a16="http://schemas.microsoft.com/office/drawing/2014/main" id="{B4FB19C6-8D65-4F61-BBFF-DD4258A5676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4" name="Shape 11">
          <a:extLst>
            <a:ext uri="{FF2B5EF4-FFF2-40B4-BE49-F238E27FC236}">
              <a16:creationId xmlns:a16="http://schemas.microsoft.com/office/drawing/2014/main" id="{9B9E0BEC-9305-4295-9784-B1EF0DB9794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85" name="Shape 10">
          <a:extLst>
            <a:ext uri="{FF2B5EF4-FFF2-40B4-BE49-F238E27FC236}">
              <a16:creationId xmlns:a16="http://schemas.microsoft.com/office/drawing/2014/main" id="{380E25D2-C19B-4CDB-8BDD-85608EEF1220}"/>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6" name="Shape 11">
          <a:extLst>
            <a:ext uri="{FF2B5EF4-FFF2-40B4-BE49-F238E27FC236}">
              <a16:creationId xmlns:a16="http://schemas.microsoft.com/office/drawing/2014/main" id="{F444D69A-ED8E-41BE-B4E9-799EF18F556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7" name="Shape 11">
          <a:extLst>
            <a:ext uri="{FF2B5EF4-FFF2-40B4-BE49-F238E27FC236}">
              <a16:creationId xmlns:a16="http://schemas.microsoft.com/office/drawing/2014/main" id="{43204038-E8D1-4B1E-ABDC-C375AF12179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8" name="Shape 11">
          <a:extLst>
            <a:ext uri="{FF2B5EF4-FFF2-40B4-BE49-F238E27FC236}">
              <a16:creationId xmlns:a16="http://schemas.microsoft.com/office/drawing/2014/main" id="{EDE756F3-54ED-41B2-9F74-A42467CD23B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9" name="Shape 11">
          <a:extLst>
            <a:ext uri="{FF2B5EF4-FFF2-40B4-BE49-F238E27FC236}">
              <a16:creationId xmlns:a16="http://schemas.microsoft.com/office/drawing/2014/main" id="{6AC1E2B1-D533-4674-A641-CFA08031812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0" name="Shape 11">
          <a:extLst>
            <a:ext uri="{FF2B5EF4-FFF2-40B4-BE49-F238E27FC236}">
              <a16:creationId xmlns:a16="http://schemas.microsoft.com/office/drawing/2014/main" id="{F1C01B8A-DF23-438C-95D1-C161B0A46BD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1" name="Shape 10">
          <a:extLst>
            <a:ext uri="{FF2B5EF4-FFF2-40B4-BE49-F238E27FC236}">
              <a16:creationId xmlns:a16="http://schemas.microsoft.com/office/drawing/2014/main" id="{899C283B-5352-4CF4-B10F-DBE0563A74BC}"/>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2" name="Shape 11">
          <a:extLst>
            <a:ext uri="{FF2B5EF4-FFF2-40B4-BE49-F238E27FC236}">
              <a16:creationId xmlns:a16="http://schemas.microsoft.com/office/drawing/2014/main" id="{F9B171AD-EB84-40EE-B1E4-501CDC8ADD1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3" name="Shape 11">
          <a:extLst>
            <a:ext uri="{FF2B5EF4-FFF2-40B4-BE49-F238E27FC236}">
              <a16:creationId xmlns:a16="http://schemas.microsoft.com/office/drawing/2014/main" id="{19AA3E6A-0C46-4D1A-B1DF-CABF65BDC93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4" name="Shape 11">
          <a:extLst>
            <a:ext uri="{FF2B5EF4-FFF2-40B4-BE49-F238E27FC236}">
              <a16:creationId xmlns:a16="http://schemas.microsoft.com/office/drawing/2014/main" id="{62D678C9-12C6-4D29-80C1-B1592240E21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5" name="Shape 11">
          <a:extLst>
            <a:ext uri="{FF2B5EF4-FFF2-40B4-BE49-F238E27FC236}">
              <a16:creationId xmlns:a16="http://schemas.microsoft.com/office/drawing/2014/main" id="{2B7C8920-93D2-48ED-961D-C87C78BE49E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6" name="Shape 11">
          <a:extLst>
            <a:ext uri="{FF2B5EF4-FFF2-40B4-BE49-F238E27FC236}">
              <a16:creationId xmlns:a16="http://schemas.microsoft.com/office/drawing/2014/main" id="{12E340FF-6F28-4F1D-84E2-2CAC4586763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7" name="Shape 10">
          <a:extLst>
            <a:ext uri="{FF2B5EF4-FFF2-40B4-BE49-F238E27FC236}">
              <a16:creationId xmlns:a16="http://schemas.microsoft.com/office/drawing/2014/main" id="{9E3FFA35-CCAF-4BB7-B639-1253A8E9D74A}"/>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8" name="Shape 11">
          <a:extLst>
            <a:ext uri="{FF2B5EF4-FFF2-40B4-BE49-F238E27FC236}">
              <a16:creationId xmlns:a16="http://schemas.microsoft.com/office/drawing/2014/main" id="{0A27D533-23B1-4B36-9902-CF6F24D259E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9" name="Shape 13">
          <a:extLst>
            <a:ext uri="{FF2B5EF4-FFF2-40B4-BE49-F238E27FC236}">
              <a16:creationId xmlns:a16="http://schemas.microsoft.com/office/drawing/2014/main" id="{49A65B72-8823-4627-B9BB-64DF2E778A9A}"/>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0" name="Shape 14">
          <a:extLst>
            <a:ext uri="{FF2B5EF4-FFF2-40B4-BE49-F238E27FC236}">
              <a16:creationId xmlns:a16="http://schemas.microsoft.com/office/drawing/2014/main" id="{736617FD-59A0-4AFD-B06C-AC6CAFE415DC}"/>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1" name="Shape 10">
          <a:extLst>
            <a:ext uri="{FF2B5EF4-FFF2-40B4-BE49-F238E27FC236}">
              <a16:creationId xmlns:a16="http://schemas.microsoft.com/office/drawing/2014/main" id="{D1A6F625-6EF4-464E-AB75-2BC4AE4B80DD}"/>
            </a:ext>
          </a:extLst>
        </xdr:cNvPr>
        <xdr:cNvSpPr txBox="1"/>
      </xdr:nvSpPr>
      <xdr:spPr>
        <a:xfrm>
          <a:off x="4124325" y="270414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2" name="Shape 14">
          <a:extLst>
            <a:ext uri="{FF2B5EF4-FFF2-40B4-BE49-F238E27FC236}">
              <a16:creationId xmlns:a16="http://schemas.microsoft.com/office/drawing/2014/main" id="{5EB6EDDC-DC2A-4F43-863A-14B6602C7298}"/>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3" name="Shape 11">
          <a:extLst>
            <a:ext uri="{FF2B5EF4-FFF2-40B4-BE49-F238E27FC236}">
              <a16:creationId xmlns:a16="http://schemas.microsoft.com/office/drawing/2014/main" id="{8FFBE3EA-4560-4CFA-BAE8-194F37DBAD2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4" name="Shape 10">
          <a:extLst>
            <a:ext uri="{FF2B5EF4-FFF2-40B4-BE49-F238E27FC236}">
              <a16:creationId xmlns:a16="http://schemas.microsoft.com/office/drawing/2014/main" id="{EFAD2A0F-721A-4151-9BC2-A0DE5C9D39EB}"/>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5" name="Shape 11">
          <a:extLst>
            <a:ext uri="{FF2B5EF4-FFF2-40B4-BE49-F238E27FC236}">
              <a16:creationId xmlns:a16="http://schemas.microsoft.com/office/drawing/2014/main" id="{B224B015-8F32-4619-9FF2-084892A06B9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6" name="Shape 11">
          <a:extLst>
            <a:ext uri="{FF2B5EF4-FFF2-40B4-BE49-F238E27FC236}">
              <a16:creationId xmlns:a16="http://schemas.microsoft.com/office/drawing/2014/main" id="{4FDB4333-E373-4810-8122-57CBE41B822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7" name="Shape 11">
          <a:extLst>
            <a:ext uri="{FF2B5EF4-FFF2-40B4-BE49-F238E27FC236}">
              <a16:creationId xmlns:a16="http://schemas.microsoft.com/office/drawing/2014/main" id="{18C77F2B-AD7B-4326-A935-FEDAAE398DC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8" name="Shape 11">
          <a:extLst>
            <a:ext uri="{FF2B5EF4-FFF2-40B4-BE49-F238E27FC236}">
              <a16:creationId xmlns:a16="http://schemas.microsoft.com/office/drawing/2014/main" id="{4E5C7CC3-7098-4FC1-85B4-A7D8ABCE010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9" name="Shape 11">
          <a:extLst>
            <a:ext uri="{FF2B5EF4-FFF2-40B4-BE49-F238E27FC236}">
              <a16:creationId xmlns:a16="http://schemas.microsoft.com/office/drawing/2014/main" id="{693A41D3-F9FA-486F-A759-74DC0B0BFEBC}"/>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0" name="Shape 10">
          <a:extLst>
            <a:ext uri="{FF2B5EF4-FFF2-40B4-BE49-F238E27FC236}">
              <a16:creationId xmlns:a16="http://schemas.microsoft.com/office/drawing/2014/main" id="{8850CBF7-FE8C-4348-A0BF-D6F74FA786F1}"/>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1" name="Shape 11">
          <a:extLst>
            <a:ext uri="{FF2B5EF4-FFF2-40B4-BE49-F238E27FC236}">
              <a16:creationId xmlns:a16="http://schemas.microsoft.com/office/drawing/2014/main" id="{00B894AD-A6EB-43A0-B1CB-E4BE2E0E419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2" name="Shape 11">
          <a:extLst>
            <a:ext uri="{FF2B5EF4-FFF2-40B4-BE49-F238E27FC236}">
              <a16:creationId xmlns:a16="http://schemas.microsoft.com/office/drawing/2014/main" id="{87CDA594-EF44-492C-ADD8-B50F7F8DDA7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3" name="Shape 11">
          <a:extLst>
            <a:ext uri="{FF2B5EF4-FFF2-40B4-BE49-F238E27FC236}">
              <a16:creationId xmlns:a16="http://schemas.microsoft.com/office/drawing/2014/main" id="{1E4E4A2D-4F62-4999-9901-0640CFE4BD8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4" name="Shape 11">
          <a:extLst>
            <a:ext uri="{FF2B5EF4-FFF2-40B4-BE49-F238E27FC236}">
              <a16:creationId xmlns:a16="http://schemas.microsoft.com/office/drawing/2014/main" id="{9767758D-0667-4E61-A60A-9BC79B38A80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5" name="Shape 11">
          <a:extLst>
            <a:ext uri="{FF2B5EF4-FFF2-40B4-BE49-F238E27FC236}">
              <a16:creationId xmlns:a16="http://schemas.microsoft.com/office/drawing/2014/main" id="{FD0789B7-70FB-45AF-97D8-172E3815EC7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6" name="Shape 10">
          <a:extLst>
            <a:ext uri="{FF2B5EF4-FFF2-40B4-BE49-F238E27FC236}">
              <a16:creationId xmlns:a16="http://schemas.microsoft.com/office/drawing/2014/main" id="{C73AC51E-FE70-4EBA-9635-C07316523B33}"/>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7" name="Shape 11">
          <a:extLst>
            <a:ext uri="{FF2B5EF4-FFF2-40B4-BE49-F238E27FC236}">
              <a16:creationId xmlns:a16="http://schemas.microsoft.com/office/drawing/2014/main" id="{4AEB803E-17EF-4382-B87A-78D4B93D671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8" name="Shape 11">
          <a:extLst>
            <a:ext uri="{FF2B5EF4-FFF2-40B4-BE49-F238E27FC236}">
              <a16:creationId xmlns:a16="http://schemas.microsoft.com/office/drawing/2014/main" id="{94E4F95C-1667-4BEF-926F-83E8F3BED18C}"/>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9" name="Shape 11">
          <a:extLst>
            <a:ext uri="{FF2B5EF4-FFF2-40B4-BE49-F238E27FC236}">
              <a16:creationId xmlns:a16="http://schemas.microsoft.com/office/drawing/2014/main" id="{63104A2C-7330-42CB-9E30-15A629BF40E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0" name="Shape 11">
          <a:extLst>
            <a:ext uri="{FF2B5EF4-FFF2-40B4-BE49-F238E27FC236}">
              <a16:creationId xmlns:a16="http://schemas.microsoft.com/office/drawing/2014/main" id="{1EA7B055-DF87-44AC-869D-CBD40D6A3AA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1" name="Shape 11">
          <a:extLst>
            <a:ext uri="{FF2B5EF4-FFF2-40B4-BE49-F238E27FC236}">
              <a16:creationId xmlns:a16="http://schemas.microsoft.com/office/drawing/2014/main" id="{DF1E49CA-D46F-4F50-B940-5338B58DA59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2" name="Shape 10">
          <a:extLst>
            <a:ext uri="{FF2B5EF4-FFF2-40B4-BE49-F238E27FC236}">
              <a16:creationId xmlns:a16="http://schemas.microsoft.com/office/drawing/2014/main" id="{A54FC185-E3EC-4D83-8CD0-D35311081873}"/>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3" name="Shape 11">
          <a:extLst>
            <a:ext uri="{FF2B5EF4-FFF2-40B4-BE49-F238E27FC236}">
              <a16:creationId xmlns:a16="http://schemas.microsoft.com/office/drawing/2014/main" id="{7549A6EA-2058-4E42-B4A7-30DA622E042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4" name="Shape 11">
          <a:extLst>
            <a:ext uri="{FF2B5EF4-FFF2-40B4-BE49-F238E27FC236}">
              <a16:creationId xmlns:a16="http://schemas.microsoft.com/office/drawing/2014/main" id="{3B0E7E62-C7C2-4A71-AF8C-A60A5E26C0D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5" name="Shape 11">
          <a:extLst>
            <a:ext uri="{FF2B5EF4-FFF2-40B4-BE49-F238E27FC236}">
              <a16:creationId xmlns:a16="http://schemas.microsoft.com/office/drawing/2014/main" id="{B5B4F673-A2A8-497C-9189-3CCDA4A2803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6" name="Shape 11">
          <a:extLst>
            <a:ext uri="{FF2B5EF4-FFF2-40B4-BE49-F238E27FC236}">
              <a16:creationId xmlns:a16="http://schemas.microsoft.com/office/drawing/2014/main" id="{8FFA5462-8866-4593-9DEB-E859BA84DAD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7" name="Shape 11">
          <a:extLst>
            <a:ext uri="{FF2B5EF4-FFF2-40B4-BE49-F238E27FC236}">
              <a16:creationId xmlns:a16="http://schemas.microsoft.com/office/drawing/2014/main" id="{8568A7FD-15F5-431D-8074-04985FBC490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8" name="Shape 10">
          <a:extLst>
            <a:ext uri="{FF2B5EF4-FFF2-40B4-BE49-F238E27FC236}">
              <a16:creationId xmlns:a16="http://schemas.microsoft.com/office/drawing/2014/main" id="{954E0092-8601-4716-B20D-9D045547752B}"/>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9" name="Shape 11">
          <a:extLst>
            <a:ext uri="{FF2B5EF4-FFF2-40B4-BE49-F238E27FC236}">
              <a16:creationId xmlns:a16="http://schemas.microsoft.com/office/drawing/2014/main" id="{AB62B4E4-4071-40A7-9695-ECAF204E71D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0" name="Shape 11">
          <a:extLst>
            <a:ext uri="{FF2B5EF4-FFF2-40B4-BE49-F238E27FC236}">
              <a16:creationId xmlns:a16="http://schemas.microsoft.com/office/drawing/2014/main" id="{1407EFBB-943D-4ED4-B4CC-6AF1C3FC3A5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1" name="Shape 11">
          <a:extLst>
            <a:ext uri="{FF2B5EF4-FFF2-40B4-BE49-F238E27FC236}">
              <a16:creationId xmlns:a16="http://schemas.microsoft.com/office/drawing/2014/main" id="{3FD0D309-323F-44D5-883E-56EA42E7877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2" name="Shape 11">
          <a:extLst>
            <a:ext uri="{FF2B5EF4-FFF2-40B4-BE49-F238E27FC236}">
              <a16:creationId xmlns:a16="http://schemas.microsoft.com/office/drawing/2014/main" id="{99869A17-02AE-4F23-B5FF-CE2285B8129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3" name="Shape 11">
          <a:extLst>
            <a:ext uri="{FF2B5EF4-FFF2-40B4-BE49-F238E27FC236}">
              <a16:creationId xmlns:a16="http://schemas.microsoft.com/office/drawing/2014/main" id="{B74FC895-8C94-4184-8C02-79644C7C48C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34" name="Shape 10">
          <a:extLst>
            <a:ext uri="{FF2B5EF4-FFF2-40B4-BE49-F238E27FC236}">
              <a16:creationId xmlns:a16="http://schemas.microsoft.com/office/drawing/2014/main" id="{CBBEAF10-9978-4D68-BE83-36196769C077}"/>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5" name="Shape 11">
          <a:extLst>
            <a:ext uri="{FF2B5EF4-FFF2-40B4-BE49-F238E27FC236}">
              <a16:creationId xmlns:a16="http://schemas.microsoft.com/office/drawing/2014/main" id="{EBFD02E2-8EEF-4F92-B41A-F8ECA34B3FEC}"/>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6" name="Shape 11">
          <a:extLst>
            <a:ext uri="{FF2B5EF4-FFF2-40B4-BE49-F238E27FC236}">
              <a16:creationId xmlns:a16="http://schemas.microsoft.com/office/drawing/2014/main" id="{D62D52FF-E078-422E-9C05-F0D32E90CD5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7" name="Shape 11">
          <a:extLst>
            <a:ext uri="{FF2B5EF4-FFF2-40B4-BE49-F238E27FC236}">
              <a16:creationId xmlns:a16="http://schemas.microsoft.com/office/drawing/2014/main" id="{B06E10BC-04FC-42D5-BB0B-142EE3DB922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8" name="Shape 11">
          <a:extLst>
            <a:ext uri="{FF2B5EF4-FFF2-40B4-BE49-F238E27FC236}">
              <a16:creationId xmlns:a16="http://schemas.microsoft.com/office/drawing/2014/main" id="{6B628B27-FB11-4C60-BA85-5D3D340C130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9" name="Shape 11">
          <a:extLst>
            <a:ext uri="{FF2B5EF4-FFF2-40B4-BE49-F238E27FC236}">
              <a16:creationId xmlns:a16="http://schemas.microsoft.com/office/drawing/2014/main" id="{C950B0A3-482B-4C3D-A2CA-9B742DCC96C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0" name="Shape 10">
          <a:extLst>
            <a:ext uri="{FF2B5EF4-FFF2-40B4-BE49-F238E27FC236}">
              <a16:creationId xmlns:a16="http://schemas.microsoft.com/office/drawing/2014/main" id="{86AABC4B-926F-41A3-8348-9889C5E19A13}"/>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1" name="Shape 11">
          <a:extLst>
            <a:ext uri="{FF2B5EF4-FFF2-40B4-BE49-F238E27FC236}">
              <a16:creationId xmlns:a16="http://schemas.microsoft.com/office/drawing/2014/main" id="{17F092EC-F45C-4B78-B6E6-225323BE7FB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2" name="Shape 13">
          <a:extLst>
            <a:ext uri="{FF2B5EF4-FFF2-40B4-BE49-F238E27FC236}">
              <a16:creationId xmlns:a16="http://schemas.microsoft.com/office/drawing/2014/main" id="{46F78526-E042-495D-9F49-C45772910D03}"/>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3" name="Shape 14">
          <a:extLst>
            <a:ext uri="{FF2B5EF4-FFF2-40B4-BE49-F238E27FC236}">
              <a16:creationId xmlns:a16="http://schemas.microsoft.com/office/drawing/2014/main" id="{17575B57-1405-41C3-960D-413FF91C96C6}"/>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4" name="Shape 10">
          <a:extLst>
            <a:ext uri="{FF2B5EF4-FFF2-40B4-BE49-F238E27FC236}">
              <a16:creationId xmlns:a16="http://schemas.microsoft.com/office/drawing/2014/main" id="{96BBBC8D-CB67-4CC9-B07A-8F51AC81F59C}"/>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5" name="Shape 12">
          <a:extLst>
            <a:ext uri="{FF2B5EF4-FFF2-40B4-BE49-F238E27FC236}">
              <a16:creationId xmlns:a16="http://schemas.microsoft.com/office/drawing/2014/main" id="{4DBA570A-8845-480D-B0E2-9C006B929F62}"/>
            </a:ext>
          </a:extLst>
        </xdr:cNvPr>
        <xdr:cNvSpPr txBox="1"/>
      </xdr:nvSpPr>
      <xdr:spPr>
        <a:xfrm>
          <a:off x="0" y="268795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6" name="Shape 11">
          <a:extLst>
            <a:ext uri="{FF2B5EF4-FFF2-40B4-BE49-F238E27FC236}">
              <a16:creationId xmlns:a16="http://schemas.microsoft.com/office/drawing/2014/main" id="{D4AE034F-FC9B-4091-B1AB-431C0A84B426}"/>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7" name="Shape 10">
          <a:extLst>
            <a:ext uri="{FF2B5EF4-FFF2-40B4-BE49-F238E27FC236}">
              <a16:creationId xmlns:a16="http://schemas.microsoft.com/office/drawing/2014/main" id="{BA5E40C9-8573-4FBB-8E59-1B4C727E4840}"/>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8" name="Shape 11">
          <a:extLst>
            <a:ext uri="{FF2B5EF4-FFF2-40B4-BE49-F238E27FC236}">
              <a16:creationId xmlns:a16="http://schemas.microsoft.com/office/drawing/2014/main" id="{6B218D30-2BCD-4BA3-9270-24EDBDC227D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9" name="Shape 11">
          <a:extLst>
            <a:ext uri="{FF2B5EF4-FFF2-40B4-BE49-F238E27FC236}">
              <a16:creationId xmlns:a16="http://schemas.microsoft.com/office/drawing/2014/main" id="{A356063B-B041-4958-8ABD-8E416B6092F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0" name="Shape 11">
          <a:extLst>
            <a:ext uri="{FF2B5EF4-FFF2-40B4-BE49-F238E27FC236}">
              <a16:creationId xmlns:a16="http://schemas.microsoft.com/office/drawing/2014/main" id="{7E49DFB8-45B9-4277-B7A7-619C1128BAA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1" name="Shape 11">
          <a:extLst>
            <a:ext uri="{FF2B5EF4-FFF2-40B4-BE49-F238E27FC236}">
              <a16:creationId xmlns:a16="http://schemas.microsoft.com/office/drawing/2014/main" id="{5EE410C5-5E51-4AA2-B285-30F3E19C110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2" name="Shape 11">
          <a:extLst>
            <a:ext uri="{FF2B5EF4-FFF2-40B4-BE49-F238E27FC236}">
              <a16:creationId xmlns:a16="http://schemas.microsoft.com/office/drawing/2014/main" id="{E51EEE3D-CF10-418D-A73D-60B532F26BF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3" name="Shape 10">
          <a:extLst>
            <a:ext uri="{FF2B5EF4-FFF2-40B4-BE49-F238E27FC236}">
              <a16:creationId xmlns:a16="http://schemas.microsoft.com/office/drawing/2014/main" id="{8C54F44E-F011-4FFA-BCB0-2BF70C5F9064}"/>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4" name="Shape 11">
          <a:extLst>
            <a:ext uri="{FF2B5EF4-FFF2-40B4-BE49-F238E27FC236}">
              <a16:creationId xmlns:a16="http://schemas.microsoft.com/office/drawing/2014/main" id="{414047A9-D337-4117-B78B-5134B1AC36D1}"/>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5" name="Shape 11">
          <a:extLst>
            <a:ext uri="{FF2B5EF4-FFF2-40B4-BE49-F238E27FC236}">
              <a16:creationId xmlns:a16="http://schemas.microsoft.com/office/drawing/2014/main" id="{0E8236FA-E692-49A1-BD27-D68628A1BF7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6" name="Shape 11">
          <a:extLst>
            <a:ext uri="{FF2B5EF4-FFF2-40B4-BE49-F238E27FC236}">
              <a16:creationId xmlns:a16="http://schemas.microsoft.com/office/drawing/2014/main" id="{287770C4-57C3-4DF9-AC83-B61513E835A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7" name="Shape 11">
          <a:extLst>
            <a:ext uri="{FF2B5EF4-FFF2-40B4-BE49-F238E27FC236}">
              <a16:creationId xmlns:a16="http://schemas.microsoft.com/office/drawing/2014/main" id="{47E6076A-E732-40C0-BFC1-9729473C761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8" name="Shape 11">
          <a:extLst>
            <a:ext uri="{FF2B5EF4-FFF2-40B4-BE49-F238E27FC236}">
              <a16:creationId xmlns:a16="http://schemas.microsoft.com/office/drawing/2014/main" id="{9E873803-1C3E-4FC2-8BA6-2BC67757275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9" name="Shape 10">
          <a:extLst>
            <a:ext uri="{FF2B5EF4-FFF2-40B4-BE49-F238E27FC236}">
              <a16:creationId xmlns:a16="http://schemas.microsoft.com/office/drawing/2014/main" id="{42507F04-C83C-40AF-BF77-18146F673F58}"/>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0" name="Shape 11">
          <a:extLst>
            <a:ext uri="{FF2B5EF4-FFF2-40B4-BE49-F238E27FC236}">
              <a16:creationId xmlns:a16="http://schemas.microsoft.com/office/drawing/2014/main" id="{42DAB995-1A25-4D08-BDA9-1AF72503987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1" name="Shape 11">
          <a:extLst>
            <a:ext uri="{FF2B5EF4-FFF2-40B4-BE49-F238E27FC236}">
              <a16:creationId xmlns:a16="http://schemas.microsoft.com/office/drawing/2014/main" id="{BA18EA2F-BF18-40ED-9FCD-585D9A5B2D4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2" name="Shape 11">
          <a:extLst>
            <a:ext uri="{FF2B5EF4-FFF2-40B4-BE49-F238E27FC236}">
              <a16:creationId xmlns:a16="http://schemas.microsoft.com/office/drawing/2014/main" id="{78574BE7-69E6-4AA5-8C22-1F20DF1BB3A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3" name="Shape 11">
          <a:extLst>
            <a:ext uri="{FF2B5EF4-FFF2-40B4-BE49-F238E27FC236}">
              <a16:creationId xmlns:a16="http://schemas.microsoft.com/office/drawing/2014/main" id="{EE190D6A-D056-4156-B7CA-E407989B010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4" name="Shape 11">
          <a:extLst>
            <a:ext uri="{FF2B5EF4-FFF2-40B4-BE49-F238E27FC236}">
              <a16:creationId xmlns:a16="http://schemas.microsoft.com/office/drawing/2014/main" id="{12448045-CDAB-4D69-80C4-D19AA24373F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65" name="Shape 10">
          <a:extLst>
            <a:ext uri="{FF2B5EF4-FFF2-40B4-BE49-F238E27FC236}">
              <a16:creationId xmlns:a16="http://schemas.microsoft.com/office/drawing/2014/main" id="{776F3D12-BE14-438B-ACAA-BB0FE7512009}"/>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6" name="Shape 11">
          <a:extLst>
            <a:ext uri="{FF2B5EF4-FFF2-40B4-BE49-F238E27FC236}">
              <a16:creationId xmlns:a16="http://schemas.microsoft.com/office/drawing/2014/main" id="{CFDCCA6B-521E-4372-9DC7-FF46E8B3AE9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7" name="Shape 11">
          <a:extLst>
            <a:ext uri="{FF2B5EF4-FFF2-40B4-BE49-F238E27FC236}">
              <a16:creationId xmlns:a16="http://schemas.microsoft.com/office/drawing/2014/main" id="{DEC22F69-FCD6-4591-B8F1-71ACE8D1C1C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8" name="Shape 11">
          <a:extLst>
            <a:ext uri="{FF2B5EF4-FFF2-40B4-BE49-F238E27FC236}">
              <a16:creationId xmlns:a16="http://schemas.microsoft.com/office/drawing/2014/main" id="{AD8B40DA-1416-491C-AD84-C668A8C608E6}"/>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9" name="Shape 11">
          <a:extLst>
            <a:ext uri="{FF2B5EF4-FFF2-40B4-BE49-F238E27FC236}">
              <a16:creationId xmlns:a16="http://schemas.microsoft.com/office/drawing/2014/main" id="{CFAA0488-73BD-4071-B3EC-54296CFDB7A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0" name="Shape 11">
          <a:extLst>
            <a:ext uri="{FF2B5EF4-FFF2-40B4-BE49-F238E27FC236}">
              <a16:creationId xmlns:a16="http://schemas.microsoft.com/office/drawing/2014/main" id="{ECFA81A3-7DE5-4C95-8DD2-EBD161F433B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1" name="Shape 10">
          <a:extLst>
            <a:ext uri="{FF2B5EF4-FFF2-40B4-BE49-F238E27FC236}">
              <a16:creationId xmlns:a16="http://schemas.microsoft.com/office/drawing/2014/main" id="{685E1339-4AE6-4457-9736-9C63EEA04198}"/>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2" name="Shape 11">
          <a:extLst>
            <a:ext uri="{FF2B5EF4-FFF2-40B4-BE49-F238E27FC236}">
              <a16:creationId xmlns:a16="http://schemas.microsoft.com/office/drawing/2014/main" id="{65FF621C-10A3-4614-A95A-88EBE05535C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3" name="Shape 11">
          <a:extLst>
            <a:ext uri="{FF2B5EF4-FFF2-40B4-BE49-F238E27FC236}">
              <a16:creationId xmlns:a16="http://schemas.microsoft.com/office/drawing/2014/main" id="{D4B0A6A1-68C4-4F5A-9C36-63DA4D62F81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4" name="Shape 11">
          <a:extLst>
            <a:ext uri="{FF2B5EF4-FFF2-40B4-BE49-F238E27FC236}">
              <a16:creationId xmlns:a16="http://schemas.microsoft.com/office/drawing/2014/main" id="{C5A4F118-C52F-4F48-AE63-418B928EDFF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5" name="Shape 11">
          <a:extLst>
            <a:ext uri="{FF2B5EF4-FFF2-40B4-BE49-F238E27FC236}">
              <a16:creationId xmlns:a16="http://schemas.microsoft.com/office/drawing/2014/main" id="{8E01E6EF-C158-4CD2-8F18-A78879D9962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6" name="Shape 11">
          <a:extLst>
            <a:ext uri="{FF2B5EF4-FFF2-40B4-BE49-F238E27FC236}">
              <a16:creationId xmlns:a16="http://schemas.microsoft.com/office/drawing/2014/main" id="{3B464B41-DEC6-4A92-88D2-C2ECBF2370C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7" name="Shape 10">
          <a:extLst>
            <a:ext uri="{FF2B5EF4-FFF2-40B4-BE49-F238E27FC236}">
              <a16:creationId xmlns:a16="http://schemas.microsoft.com/office/drawing/2014/main" id="{EEDA8B24-CBEB-41D8-A393-AFEBB8D9127D}"/>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8" name="Shape 11">
          <a:extLst>
            <a:ext uri="{FF2B5EF4-FFF2-40B4-BE49-F238E27FC236}">
              <a16:creationId xmlns:a16="http://schemas.microsoft.com/office/drawing/2014/main" id="{968FE758-4FA2-4CC7-A222-5A7D1D9D908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9" name="Shape 11">
          <a:extLst>
            <a:ext uri="{FF2B5EF4-FFF2-40B4-BE49-F238E27FC236}">
              <a16:creationId xmlns:a16="http://schemas.microsoft.com/office/drawing/2014/main" id="{1806B72E-C3EA-46A8-B359-D1C28676C17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0" name="Shape 11">
          <a:extLst>
            <a:ext uri="{FF2B5EF4-FFF2-40B4-BE49-F238E27FC236}">
              <a16:creationId xmlns:a16="http://schemas.microsoft.com/office/drawing/2014/main" id="{80F2CD8E-D575-4B74-BBF4-3A6BBE92A6F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1" name="Shape 11">
          <a:extLst>
            <a:ext uri="{FF2B5EF4-FFF2-40B4-BE49-F238E27FC236}">
              <a16:creationId xmlns:a16="http://schemas.microsoft.com/office/drawing/2014/main" id="{460BF3F4-B4B1-455F-ADF4-40F8DE32630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2" name="Shape 11">
          <a:extLst>
            <a:ext uri="{FF2B5EF4-FFF2-40B4-BE49-F238E27FC236}">
              <a16:creationId xmlns:a16="http://schemas.microsoft.com/office/drawing/2014/main" id="{C5229B98-BA80-474B-AF59-CAF5C46203C6}"/>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3" name="Shape 10">
          <a:extLst>
            <a:ext uri="{FF2B5EF4-FFF2-40B4-BE49-F238E27FC236}">
              <a16:creationId xmlns:a16="http://schemas.microsoft.com/office/drawing/2014/main" id="{7F409B3C-15C7-43AF-8AB9-A2BAF8F7F47E}"/>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4" name="Shape 11">
          <a:extLst>
            <a:ext uri="{FF2B5EF4-FFF2-40B4-BE49-F238E27FC236}">
              <a16:creationId xmlns:a16="http://schemas.microsoft.com/office/drawing/2014/main" id="{9A96A645-BAE1-4277-B709-86BD0A00538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5" name="Shape 13">
          <a:extLst>
            <a:ext uri="{FF2B5EF4-FFF2-40B4-BE49-F238E27FC236}">
              <a16:creationId xmlns:a16="http://schemas.microsoft.com/office/drawing/2014/main" id="{DEAE48BB-AF68-4D87-8CD3-A76139775073}"/>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6" name="Shape 14">
          <a:extLst>
            <a:ext uri="{FF2B5EF4-FFF2-40B4-BE49-F238E27FC236}">
              <a16:creationId xmlns:a16="http://schemas.microsoft.com/office/drawing/2014/main" id="{31F7DBAF-A42B-46C9-B858-DC4065B57A33}"/>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7" name="Shape 10">
          <a:extLst>
            <a:ext uri="{FF2B5EF4-FFF2-40B4-BE49-F238E27FC236}">
              <a16:creationId xmlns:a16="http://schemas.microsoft.com/office/drawing/2014/main" id="{5C3F8403-BFD3-4B4C-965F-0AEF3D2CE276}"/>
            </a:ext>
          </a:extLst>
        </xdr:cNvPr>
        <xdr:cNvSpPr txBox="1"/>
      </xdr:nvSpPr>
      <xdr:spPr>
        <a:xfrm>
          <a:off x="4124325" y="359473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8" name="Shape 14">
          <a:extLst>
            <a:ext uri="{FF2B5EF4-FFF2-40B4-BE49-F238E27FC236}">
              <a16:creationId xmlns:a16="http://schemas.microsoft.com/office/drawing/2014/main" id="{11B01FDB-F125-4F4A-908A-2E42EE21BFB0}"/>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9" name="Shape 11">
          <a:extLst>
            <a:ext uri="{FF2B5EF4-FFF2-40B4-BE49-F238E27FC236}">
              <a16:creationId xmlns:a16="http://schemas.microsoft.com/office/drawing/2014/main" id="{7851FE35-9836-4042-B80D-E5F1E8701D18}"/>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0" name="Shape 10">
          <a:extLst>
            <a:ext uri="{FF2B5EF4-FFF2-40B4-BE49-F238E27FC236}">
              <a16:creationId xmlns:a16="http://schemas.microsoft.com/office/drawing/2014/main" id="{7F696313-32D3-4AA9-B251-64F329E25419}"/>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1" name="Shape 11">
          <a:extLst>
            <a:ext uri="{FF2B5EF4-FFF2-40B4-BE49-F238E27FC236}">
              <a16:creationId xmlns:a16="http://schemas.microsoft.com/office/drawing/2014/main" id="{9EA6A721-EDAF-48F6-9D92-A3619C2698F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2" name="Shape 11">
          <a:extLst>
            <a:ext uri="{FF2B5EF4-FFF2-40B4-BE49-F238E27FC236}">
              <a16:creationId xmlns:a16="http://schemas.microsoft.com/office/drawing/2014/main" id="{5D21F57E-323F-4AF4-9A65-EC6963168C3B}"/>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3" name="Shape 11">
          <a:extLst>
            <a:ext uri="{FF2B5EF4-FFF2-40B4-BE49-F238E27FC236}">
              <a16:creationId xmlns:a16="http://schemas.microsoft.com/office/drawing/2014/main" id="{43D7DE5E-F7E6-4ECB-98B5-89F54EA5500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4" name="Shape 11">
          <a:extLst>
            <a:ext uri="{FF2B5EF4-FFF2-40B4-BE49-F238E27FC236}">
              <a16:creationId xmlns:a16="http://schemas.microsoft.com/office/drawing/2014/main" id="{5E85690B-7D72-4CDE-A5F0-7DD0A9C0390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5" name="Shape 11">
          <a:extLst>
            <a:ext uri="{FF2B5EF4-FFF2-40B4-BE49-F238E27FC236}">
              <a16:creationId xmlns:a16="http://schemas.microsoft.com/office/drawing/2014/main" id="{5F126366-B1E2-4C54-B797-8F1C7F61C5B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6" name="Shape 10">
          <a:extLst>
            <a:ext uri="{FF2B5EF4-FFF2-40B4-BE49-F238E27FC236}">
              <a16:creationId xmlns:a16="http://schemas.microsoft.com/office/drawing/2014/main" id="{0B07C736-098A-491D-A91D-C908036FFB53}"/>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7" name="Shape 11">
          <a:extLst>
            <a:ext uri="{FF2B5EF4-FFF2-40B4-BE49-F238E27FC236}">
              <a16:creationId xmlns:a16="http://schemas.microsoft.com/office/drawing/2014/main" id="{A2008D6A-4689-495D-ACCF-D860E69E1CB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8" name="Shape 11">
          <a:extLst>
            <a:ext uri="{FF2B5EF4-FFF2-40B4-BE49-F238E27FC236}">
              <a16:creationId xmlns:a16="http://schemas.microsoft.com/office/drawing/2014/main" id="{ED64D5B5-3F8F-4FF9-91C5-8B3EDE8F11A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9" name="Shape 11">
          <a:extLst>
            <a:ext uri="{FF2B5EF4-FFF2-40B4-BE49-F238E27FC236}">
              <a16:creationId xmlns:a16="http://schemas.microsoft.com/office/drawing/2014/main" id="{F8879B5D-2D85-4D9C-A603-4F428E7439E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0" name="Shape 11">
          <a:extLst>
            <a:ext uri="{FF2B5EF4-FFF2-40B4-BE49-F238E27FC236}">
              <a16:creationId xmlns:a16="http://schemas.microsoft.com/office/drawing/2014/main" id="{5FDC24AE-0431-4C9C-9B9A-93A7A0A8B418}"/>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1" name="Shape 11">
          <a:extLst>
            <a:ext uri="{FF2B5EF4-FFF2-40B4-BE49-F238E27FC236}">
              <a16:creationId xmlns:a16="http://schemas.microsoft.com/office/drawing/2014/main" id="{83F115A6-928B-49B3-B91A-882009B29CF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2" name="Shape 10">
          <a:extLst>
            <a:ext uri="{FF2B5EF4-FFF2-40B4-BE49-F238E27FC236}">
              <a16:creationId xmlns:a16="http://schemas.microsoft.com/office/drawing/2014/main" id="{BDE853C9-CF2E-44CF-86A8-CEBC41D7BBE7}"/>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3" name="Shape 11">
          <a:extLst>
            <a:ext uri="{FF2B5EF4-FFF2-40B4-BE49-F238E27FC236}">
              <a16:creationId xmlns:a16="http://schemas.microsoft.com/office/drawing/2014/main" id="{AAE302B2-65CF-40E1-B57B-08BA1C5A2A0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4" name="Shape 11">
          <a:extLst>
            <a:ext uri="{FF2B5EF4-FFF2-40B4-BE49-F238E27FC236}">
              <a16:creationId xmlns:a16="http://schemas.microsoft.com/office/drawing/2014/main" id="{173F5DFE-B2BD-4B56-B045-7CBFC50089C8}"/>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5" name="Shape 11">
          <a:extLst>
            <a:ext uri="{FF2B5EF4-FFF2-40B4-BE49-F238E27FC236}">
              <a16:creationId xmlns:a16="http://schemas.microsoft.com/office/drawing/2014/main" id="{FC569072-9195-4F1A-9EAE-A8B052A111F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6" name="Shape 11">
          <a:extLst>
            <a:ext uri="{FF2B5EF4-FFF2-40B4-BE49-F238E27FC236}">
              <a16:creationId xmlns:a16="http://schemas.microsoft.com/office/drawing/2014/main" id="{7743E685-C97E-4FC1-AB4D-871DB763937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7" name="Shape 11">
          <a:extLst>
            <a:ext uri="{FF2B5EF4-FFF2-40B4-BE49-F238E27FC236}">
              <a16:creationId xmlns:a16="http://schemas.microsoft.com/office/drawing/2014/main" id="{EEF03AD0-F4A5-4010-A091-0D9447490DE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8" name="Shape 10">
          <a:extLst>
            <a:ext uri="{FF2B5EF4-FFF2-40B4-BE49-F238E27FC236}">
              <a16:creationId xmlns:a16="http://schemas.microsoft.com/office/drawing/2014/main" id="{5D293E8D-1BAC-4294-8D86-35E5A2CE1C24}"/>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9" name="Shape 11">
          <a:extLst>
            <a:ext uri="{FF2B5EF4-FFF2-40B4-BE49-F238E27FC236}">
              <a16:creationId xmlns:a16="http://schemas.microsoft.com/office/drawing/2014/main" id="{8B2BC308-48F5-4287-BB4E-050A5318B16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0" name="Shape 11">
          <a:extLst>
            <a:ext uri="{FF2B5EF4-FFF2-40B4-BE49-F238E27FC236}">
              <a16:creationId xmlns:a16="http://schemas.microsoft.com/office/drawing/2014/main" id="{5D6C6FE8-422E-4CA1-9BD7-E956E1A93BC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1" name="Shape 11">
          <a:extLst>
            <a:ext uri="{FF2B5EF4-FFF2-40B4-BE49-F238E27FC236}">
              <a16:creationId xmlns:a16="http://schemas.microsoft.com/office/drawing/2014/main" id="{02A04451-212E-4EF1-A2BE-E696A96A0B7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2" name="Shape 11">
          <a:extLst>
            <a:ext uri="{FF2B5EF4-FFF2-40B4-BE49-F238E27FC236}">
              <a16:creationId xmlns:a16="http://schemas.microsoft.com/office/drawing/2014/main" id="{E79E5D84-E512-4DFF-BAD7-7FB0DBBF1A1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3" name="Shape 11">
          <a:extLst>
            <a:ext uri="{FF2B5EF4-FFF2-40B4-BE49-F238E27FC236}">
              <a16:creationId xmlns:a16="http://schemas.microsoft.com/office/drawing/2014/main" id="{C789885C-29DC-4880-B80A-3EF41CC8F12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14" name="Shape 10">
          <a:extLst>
            <a:ext uri="{FF2B5EF4-FFF2-40B4-BE49-F238E27FC236}">
              <a16:creationId xmlns:a16="http://schemas.microsoft.com/office/drawing/2014/main" id="{9557F023-D9C9-41FF-B560-2BBC5A9A6369}"/>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5" name="Shape 11">
          <a:extLst>
            <a:ext uri="{FF2B5EF4-FFF2-40B4-BE49-F238E27FC236}">
              <a16:creationId xmlns:a16="http://schemas.microsoft.com/office/drawing/2014/main" id="{D1A53AA5-52E6-4CCB-BD28-7D29F6B1CD6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6" name="Shape 11">
          <a:extLst>
            <a:ext uri="{FF2B5EF4-FFF2-40B4-BE49-F238E27FC236}">
              <a16:creationId xmlns:a16="http://schemas.microsoft.com/office/drawing/2014/main" id="{C6ADFE44-53FF-465F-974D-5B82A725527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7" name="Shape 11">
          <a:extLst>
            <a:ext uri="{FF2B5EF4-FFF2-40B4-BE49-F238E27FC236}">
              <a16:creationId xmlns:a16="http://schemas.microsoft.com/office/drawing/2014/main" id="{79B3DCE1-58B4-4449-9A0F-09407D5E77D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8" name="Shape 11">
          <a:extLst>
            <a:ext uri="{FF2B5EF4-FFF2-40B4-BE49-F238E27FC236}">
              <a16:creationId xmlns:a16="http://schemas.microsoft.com/office/drawing/2014/main" id="{C2ACA57D-55A6-4E02-A20B-4BE35C939A4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9" name="Shape 11">
          <a:extLst>
            <a:ext uri="{FF2B5EF4-FFF2-40B4-BE49-F238E27FC236}">
              <a16:creationId xmlns:a16="http://schemas.microsoft.com/office/drawing/2014/main" id="{A9A0B180-C0F6-46B2-88FF-25C3A18E306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0" name="Shape 10">
          <a:extLst>
            <a:ext uri="{FF2B5EF4-FFF2-40B4-BE49-F238E27FC236}">
              <a16:creationId xmlns:a16="http://schemas.microsoft.com/office/drawing/2014/main" id="{31E6E265-897C-4511-BCEF-068C081DF699}"/>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1" name="Shape 11">
          <a:extLst>
            <a:ext uri="{FF2B5EF4-FFF2-40B4-BE49-F238E27FC236}">
              <a16:creationId xmlns:a16="http://schemas.microsoft.com/office/drawing/2014/main" id="{722CE8D1-5243-432E-9B74-1BDB4F3E834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2" name="Shape 11">
          <a:extLst>
            <a:ext uri="{FF2B5EF4-FFF2-40B4-BE49-F238E27FC236}">
              <a16:creationId xmlns:a16="http://schemas.microsoft.com/office/drawing/2014/main" id="{0A2E5A6B-98ED-436B-B2F0-5E7CA58C8C2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3" name="Shape 11">
          <a:extLst>
            <a:ext uri="{FF2B5EF4-FFF2-40B4-BE49-F238E27FC236}">
              <a16:creationId xmlns:a16="http://schemas.microsoft.com/office/drawing/2014/main" id="{27F782B4-E152-4A74-B18A-980F5B57411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4" name="Shape 11">
          <a:extLst>
            <a:ext uri="{FF2B5EF4-FFF2-40B4-BE49-F238E27FC236}">
              <a16:creationId xmlns:a16="http://schemas.microsoft.com/office/drawing/2014/main" id="{CB8E4517-48FE-4578-9882-244BD598F73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5" name="Shape 11">
          <a:extLst>
            <a:ext uri="{FF2B5EF4-FFF2-40B4-BE49-F238E27FC236}">
              <a16:creationId xmlns:a16="http://schemas.microsoft.com/office/drawing/2014/main" id="{2C039438-DB1B-4126-BBFA-DABC0B51990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6" name="Shape 10">
          <a:extLst>
            <a:ext uri="{FF2B5EF4-FFF2-40B4-BE49-F238E27FC236}">
              <a16:creationId xmlns:a16="http://schemas.microsoft.com/office/drawing/2014/main" id="{BD5E26BA-BAE3-43A8-BB7E-EEB157B0A1F3}"/>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7" name="Shape 11">
          <a:extLst>
            <a:ext uri="{FF2B5EF4-FFF2-40B4-BE49-F238E27FC236}">
              <a16:creationId xmlns:a16="http://schemas.microsoft.com/office/drawing/2014/main" id="{9A029F91-5882-49AF-9B97-768B423F7F2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8" name="Shape 13">
          <a:extLst>
            <a:ext uri="{FF2B5EF4-FFF2-40B4-BE49-F238E27FC236}">
              <a16:creationId xmlns:a16="http://schemas.microsoft.com/office/drawing/2014/main" id="{0A7C67FF-39A1-425F-9C54-88575337755C}"/>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29" name="Shape 14">
          <a:extLst>
            <a:ext uri="{FF2B5EF4-FFF2-40B4-BE49-F238E27FC236}">
              <a16:creationId xmlns:a16="http://schemas.microsoft.com/office/drawing/2014/main" id="{2AC904DB-67A5-43B6-86D0-3906151FF952}"/>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30" name="Shape 10">
          <a:extLst>
            <a:ext uri="{FF2B5EF4-FFF2-40B4-BE49-F238E27FC236}">
              <a16:creationId xmlns:a16="http://schemas.microsoft.com/office/drawing/2014/main" id="{A101C33E-2C65-4032-960C-F6FA386277F4}"/>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31" name="Shape 12">
          <a:extLst>
            <a:ext uri="{FF2B5EF4-FFF2-40B4-BE49-F238E27FC236}">
              <a16:creationId xmlns:a16="http://schemas.microsoft.com/office/drawing/2014/main" id="{53268FFF-6720-4554-A55E-0162D1C8C49F}"/>
            </a:ext>
          </a:extLst>
        </xdr:cNvPr>
        <xdr:cNvSpPr txBox="1"/>
      </xdr:nvSpPr>
      <xdr:spPr>
        <a:xfrm>
          <a:off x="0" y="357854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1192C49F-463D-4BFC-A64B-EE4F5A20898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 name="Shape 10">
          <a:extLst>
            <a:ext uri="{FF2B5EF4-FFF2-40B4-BE49-F238E27FC236}">
              <a16:creationId xmlns:a16="http://schemas.microsoft.com/office/drawing/2014/main" id="{7D13F5E2-C0B2-407A-8BE8-BAC9520E234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1FBD1252-0BAA-4236-85AC-63BAAB7CEAD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607A0DAE-8CAD-4A78-898E-B8761EB7EDD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FE1FE590-DDE4-431A-9C6F-C3F2166B14B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 name="Shape 11">
          <a:extLst>
            <a:ext uri="{FF2B5EF4-FFF2-40B4-BE49-F238E27FC236}">
              <a16:creationId xmlns:a16="http://schemas.microsoft.com/office/drawing/2014/main" id="{E6F6C184-7304-4DD0-9765-BC1B6010506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863E3EB2-9B71-44AD-8184-AE4093B6B10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9" name="Shape 10">
          <a:extLst>
            <a:ext uri="{FF2B5EF4-FFF2-40B4-BE49-F238E27FC236}">
              <a16:creationId xmlns:a16="http://schemas.microsoft.com/office/drawing/2014/main" id="{C4D53122-A369-420E-A1EA-BDE85E67D937}"/>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0" name="Shape 11">
          <a:extLst>
            <a:ext uri="{FF2B5EF4-FFF2-40B4-BE49-F238E27FC236}">
              <a16:creationId xmlns:a16="http://schemas.microsoft.com/office/drawing/2014/main" id="{41D67B64-13F2-456E-8E61-8A0A4D820C9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DD857A0E-5F1C-4FF8-A39C-2B72AF83936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87B90CFD-71AD-4B89-AEDF-CE7022E7CDE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626B2492-34BD-49C5-AF2C-61F3418D947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1827D19F-3928-4546-880B-2EDF8673A42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C02DD64D-D8AC-4B73-8FAA-0642CA6B282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164A578E-B5C7-4B5E-9A33-4A83C6CB421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B804846F-EB5A-4A8F-87C2-71736820ED1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A6ADAB0C-481E-4DD1-B646-770EB1BDCB8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2DE38F8F-B5E4-4DBA-9B52-163516F06A4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9B5B3D4B-66F1-4740-961D-22D7B64050C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43B8B461-B784-428C-8D7C-9E3986FFB4F5}"/>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7AD43EBD-C9A9-412A-8502-3FF32488846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4E69CE6A-FBAF-4A5F-A113-79958FBAA13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82BE36C8-BE43-41EB-911C-C498E8E2211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3A9A1734-597F-444B-BB6B-9284FED9B79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43461A04-7E07-494C-8A47-ADAFD14D83B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C7321C38-63AC-4DD0-9960-D101353F1879}"/>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E2B6913D-C878-4BA1-8CA0-E57BAB562B6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C0EC575-B907-4B73-902C-BEF90E2C9BB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C811B870-4836-40F6-B460-5F6571A45E3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F52A9489-0345-421D-BE15-1E7D2995CC8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82D7ED3-AFB8-4333-A36A-E80D24DE44B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C749204B-A9B6-454A-BD68-9F4AD948155A}"/>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AABBFBAE-D2D2-4337-BA7D-D0E6AF46C33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77A41DDB-70AE-469E-8F9E-09AC5C91D3D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CC151CD9-0DA0-4053-93A9-44DB66192F1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865C2907-00CA-4461-B469-7391BF48A21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C5227EF-38C0-435F-988A-FDFB605FDCC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D5812682-838F-455D-8C70-7B6AF63123DD}"/>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9FA70B74-E32D-494D-95E9-F0A958F33A1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F98962BE-75EB-4B97-873B-45FF230F1C90}"/>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C425B992-36AF-4276-8C83-59F8E1894E96}"/>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B7BE9565-5B65-4CB5-A243-A5413E9D80C0}"/>
            </a:ext>
          </a:extLst>
        </xdr:cNvPr>
        <xdr:cNvSpPr txBox="1"/>
      </xdr:nvSpPr>
      <xdr:spPr>
        <a:xfrm>
          <a:off x="4124325" y="1619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24B18B00-3529-4AA7-962D-8F05EA69F507}"/>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EF4E4978-F5A7-4F8C-A435-5283B2A6C02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99579B38-C935-48AC-BF0E-D9F2428ECF26}"/>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2AF5B735-2D6E-4C55-9128-3B6D5CE6B8A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A7921BA4-EDBF-42A7-93AC-4A240C14986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379FE683-BF4B-4250-9D9C-B7BC8AABE86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D30CD8B2-EF65-478E-B1C0-34E9ABF0C3E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B83AAE9-1348-4DA7-9ADF-4E83D910308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37050BE4-CA6C-49B8-92E3-E3F6241E2FE1}"/>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460E38D8-6327-4170-983C-C2E8C2C04CA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E35FF1D3-EF80-4BA4-BA25-F2F6558342F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D1297BEE-A18C-486E-8428-420BA358ACB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20C8BE96-3E96-40A3-921C-FD99EA7F946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522262DA-9F56-4FCC-BDC4-EF3C22EFC89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3A63A4FE-60ED-4614-9AD8-DD83E8C60749}"/>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AE6856B8-5A79-4B11-914B-7F1AED072DE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8986174-051F-461B-812A-C7E28EE687F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247D2F7-0975-4199-98E1-2F1434DCD59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29AB3286-21F7-4852-852F-5BB54B078F1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3245C175-60F0-4AE3-A7D7-8ECF75BDB0A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BBBA410F-8712-4B5E-8B6E-1EBA93B6FD9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535CB522-4967-455A-B1AB-A92791876E8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530DE1DE-5192-4D95-A7DF-97FD1E916DE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EE0E2678-9EDA-4040-BC55-EA99BC0F66D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A838E21C-89E9-4C4D-9FF9-C23CBC52993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DF26ED0-BD95-4C74-B460-25985819B1A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F2D384F1-F5A9-4F0A-98B0-52321A92CBB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AA40E589-7660-46C2-8861-1E53986BE7D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A11055F0-35D1-4EEF-80FD-11B1BBB7814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E0607A57-C0F2-44C8-BDEF-A78CB7795FD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A8A666B1-D94B-4469-B561-D06B9CA55E8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296F4DE9-388C-4636-A9DC-AD358EA472E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86DB1268-1673-4F83-9DC1-DDCA8D0CE188}"/>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7F4F659-16AC-4E8F-B9E4-3F1EA0198D1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412C8A09-73E0-4357-A6BD-ACDE49830D0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7A913B8E-74D7-473C-A42F-4CD655A0A6C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65E5371F-7088-48E1-9285-08189E9DD82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E239DAB8-AEE2-4C65-AE30-8B9C05AFE24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CA9F81B4-748F-43C4-BBD6-B0EDC0022751}"/>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47F3AA42-953F-4573-AFA6-F3A65332D86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2606430D-EA88-4B72-97D3-0F6E4B75CE56}"/>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23EEAF59-9A45-4F1D-BB95-C3C5E7CB34DD}"/>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AB40F08E-E8C5-4A10-A594-2EF24627772A}"/>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DE1BD62A-22D2-40FB-B937-A2E0FB883003}"/>
            </a:ext>
          </a:extLst>
        </xdr:cNvPr>
        <xdr:cNvSpPr txBox="1"/>
      </xdr:nvSpPr>
      <xdr:spPr>
        <a:xfrm>
          <a:off x="0" y="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88" name="Shape 11">
          <a:extLst>
            <a:ext uri="{FF2B5EF4-FFF2-40B4-BE49-F238E27FC236}">
              <a16:creationId xmlns:a16="http://schemas.microsoft.com/office/drawing/2014/main" id="{8F43816D-AF21-42B4-9FFC-DA7A4071750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89" name="Shape 10">
          <a:extLst>
            <a:ext uri="{FF2B5EF4-FFF2-40B4-BE49-F238E27FC236}">
              <a16:creationId xmlns:a16="http://schemas.microsoft.com/office/drawing/2014/main" id="{B89362C1-D83D-4D6C-B6FB-E65FF9B1138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0" name="Shape 11">
          <a:extLst>
            <a:ext uri="{FF2B5EF4-FFF2-40B4-BE49-F238E27FC236}">
              <a16:creationId xmlns:a16="http://schemas.microsoft.com/office/drawing/2014/main" id="{7D508EE7-B70A-4A1F-B50B-29D59970BAE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1" name="Shape 11">
          <a:extLst>
            <a:ext uri="{FF2B5EF4-FFF2-40B4-BE49-F238E27FC236}">
              <a16:creationId xmlns:a16="http://schemas.microsoft.com/office/drawing/2014/main" id="{D94EF238-8B8B-4D7A-ADBA-1DFB7B51D3F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2" name="Shape 11">
          <a:extLst>
            <a:ext uri="{FF2B5EF4-FFF2-40B4-BE49-F238E27FC236}">
              <a16:creationId xmlns:a16="http://schemas.microsoft.com/office/drawing/2014/main" id="{283DA416-1506-4C49-BF18-DF506CB8D5E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3" name="Shape 11">
          <a:extLst>
            <a:ext uri="{FF2B5EF4-FFF2-40B4-BE49-F238E27FC236}">
              <a16:creationId xmlns:a16="http://schemas.microsoft.com/office/drawing/2014/main" id="{E2BA17AF-2416-42C6-998E-5AFC2894956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4" name="Shape 11">
          <a:extLst>
            <a:ext uri="{FF2B5EF4-FFF2-40B4-BE49-F238E27FC236}">
              <a16:creationId xmlns:a16="http://schemas.microsoft.com/office/drawing/2014/main" id="{AAAA0E36-B973-43A4-8D8F-EA99B59C71D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95" name="Shape 10">
          <a:extLst>
            <a:ext uri="{FF2B5EF4-FFF2-40B4-BE49-F238E27FC236}">
              <a16:creationId xmlns:a16="http://schemas.microsoft.com/office/drawing/2014/main" id="{EAB6D2E9-07C5-47C4-B1AF-620FE4540AA2}"/>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6" name="Shape 11">
          <a:extLst>
            <a:ext uri="{FF2B5EF4-FFF2-40B4-BE49-F238E27FC236}">
              <a16:creationId xmlns:a16="http://schemas.microsoft.com/office/drawing/2014/main" id="{D9923439-0A98-442F-B7FA-6CDCC703E8E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7" name="Shape 11">
          <a:extLst>
            <a:ext uri="{FF2B5EF4-FFF2-40B4-BE49-F238E27FC236}">
              <a16:creationId xmlns:a16="http://schemas.microsoft.com/office/drawing/2014/main" id="{B97BB13B-9EB6-4CD5-AB0A-B802A42A51C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8" name="Shape 11">
          <a:extLst>
            <a:ext uri="{FF2B5EF4-FFF2-40B4-BE49-F238E27FC236}">
              <a16:creationId xmlns:a16="http://schemas.microsoft.com/office/drawing/2014/main" id="{81762AA3-F544-4876-AF1B-E45C8749597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9" name="Shape 11">
          <a:extLst>
            <a:ext uri="{FF2B5EF4-FFF2-40B4-BE49-F238E27FC236}">
              <a16:creationId xmlns:a16="http://schemas.microsoft.com/office/drawing/2014/main" id="{902B8A83-3C55-4D49-AF59-71C2FF423C4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0" name="Shape 11">
          <a:extLst>
            <a:ext uri="{FF2B5EF4-FFF2-40B4-BE49-F238E27FC236}">
              <a16:creationId xmlns:a16="http://schemas.microsoft.com/office/drawing/2014/main" id="{091E02F0-8F83-404D-93BD-58D2B944C42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1" name="Shape 10">
          <a:extLst>
            <a:ext uri="{FF2B5EF4-FFF2-40B4-BE49-F238E27FC236}">
              <a16:creationId xmlns:a16="http://schemas.microsoft.com/office/drawing/2014/main" id="{630A280C-0758-43ED-A002-B3D18EF0D090}"/>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2" name="Shape 11">
          <a:extLst>
            <a:ext uri="{FF2B5EF4-FFF2-40B4-BE49-F238E27FC236}">
              <a16:creationId xmlns:a16="http://schemas.microsoft.com/office/drawing/2014/main" id="{1177609A-08E9-4464-93BB-BAAD1A5B74B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3" name="Shape 11">
          <a:extLst>
            <a:ext uri="{FF2B5EF4-FFF2-40B4-BE49-F238E27FC236}">
              <a16:creationId xmlns:a16="http://schemas.microsoft.com/office/drawing/2014/main" id="{76B3DD36-93BB-4D60-8669-CCFA37EA2AC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4" name="Shape 11">
          <a:extLst>
            <a:ext uri="{FF2B5EF4-FFF2-40B4-BE49-F238E27FC236}">
              <a16:creationId xmlns:a16="http://schemas.microsoft.com/office/drawing/2014/main" id="{955D3936-9D71-4480-B618-A9667A7451A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5" name="Shape 11">
          <a:extLst>
            <a:ext uri="{FF2B5EF4-FFF2-40B4-BE49-F238E27FC236}">
              <a16:creationId xmlns:a16="http://schemas.microsoft.com/office/drawing/2014/main" id="{6FBA97E3-3E3F-4C26-804D-74A94F2B3BB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6" name="Shape 11">
          <a:extLst>
            <a:ext uri="{FF2B5EF4-FFF2-40B4-BE49-F238E27FC236}">
              <a16:creationId xmlns:a16="http://schemas.microsoft.com/office/drawing/2014/main" id="{23736FF1-60AE-4515-9FA1-41987F0071C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7" name="Shape 10">
          <a:extLst>
            <a:ext uri="{FF2B5EF4-FFF2-40B4-BE49-F238E27FC236}">
              <a16:creationId xmlns:a16="http://schemas.microsoft.com/office/drawing/2014/main" id="{CDA5938B-0306-45EB-91EA-B0B1AA77D1A2}"/>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8" name="Shape 11">
          <a:extLst>
            <a:ext uri="{FF2B5EF4-FFF2-40B4-BE49-F238E27FC236}">
              <a16:creationId xmlns:a16="http://schemas.microsoft.com/office/drawing/2014/main" id="{FC72AD5F-29C3-40DD-8FDF-9A37B595BAC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9" name="Shape 11">
          <a:extLst>
            <a:ext uri="{FF2B5EF4-FFF2-40B4-BE49-F238E27FC236}">
              <a16:creationId xmlns:a16="http://schemas.microsoft.com/office/drawing/2014/main" id="{2F6A7E9C-9318-4480-94E8-4CA3CFCAC62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0" name="Shape 11">
          <a:extLst>
            <a:ext uri="{FF2B5EF4-FFF2-40B4-BE49-F238E27FC236}">
              <a16:creationId xmlns:a16="http://schemas.microsoft.com/office/drawing/2014/main" id="{B1C8C648-4311-45B2-9F05-F8C02837636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1" name="Shape 11">
          <a:extLst>
            <a:ext uri="{FF2B5EF4-FFF2-40B4-BE49-F238E27FC236}">
              <a16:creationId xmlns:a16="http://schemas.microsoft.com/office/drawing/2014/main" id="{1185D9A5-73A2-495F-AC96-9B3CBBF2728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2" name="Shape 11">
          <a:extLst>
            <a:ext uri="{FF2B5EF4-FFF2-40B4-BE49-F238E27FC236}">
              <a16:creationId xmlns:a16="http://schemas.microsoft.com/office/drawing/2014/main" id="{694FBF91-27BB-467B-881B-410AFDB3B10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3" name="Shape 10">
          <a:extLst>
            <a:ext uri="{FF2B5EF4-FFF2-40B4-BE49-F238E27FC236}">
              <a16:creationId xmlns:a16="http://schemas.microsoft.com/office/drawing/2014/main" id="{8A82FFA5-253B-4CFD-9948-C9B9D05F84FF}"/>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4" name="Shape 11">
          <a:extLst>
            <a:ext uri="{FF2B5EF4-FFF2-40B4-BE49-F238E27FC236}">
              <a16:creationId xmlns:a16="http://schemas.microsoft.com/office/drawing/2014/main" id="{8FADA6B4-21FA-4A45-8E58-6D4FDDCDBEF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5" name="Shape 11">
          <a:extLst>
            <a:ext uri="{FF2B5EF4-FFF2-40B4-BE49-F238E27FC236}">
              <a16:creationId xmlns:a16="http://schemas.microsoft.com/office/drawing/2014/main" id="{B331F595-4560-47CC-84D0-975DEBA159D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6" name="Shape 11">
          <a:extLst>
            <a:ext uri="{FF2B5EF4-FFF2-40B4-BE49-F238E27FC236}">
              <a16:creationId xmlns:a16="http://schemas.microsoft.com/office/drawing/2014/main" id="{D8D0CCCD-463A-4432-B61E-2052F32F20F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7" name="Shape 11">
          <a:extLst>
            <a:ext uri="{FF2B5EF4-FFF2-40B4-BE49-F238E27FC236}">
              <a16:creationId xmlns:a16="http://schemas.microsoft.com/office/drawing/2014/main" id="{2EB6584A-D95D-4341-82DB-28A56BEEAE9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8" name="Shape 11">
          <a:extLst>
            <a:ext uri="{FF2B5EF4-FFF2-40B4-BE49-F238E27FC236}">
              <a16:creationId xmlns:a16="http://schemas.microsoft.com/office/drawing/2014/main" id="{CAFB1F43-E0B6-4552-81D6-4035AD40431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9" name="Shape 10">
          <a:extLst>
            <a:ext uri="{FF2B5EF4-FFF2-40B4-BE49-F238E27FC236}">
              <a16:creationId xmlns:a16="http://schemas.microsoft.com/office/drawing/2014/main" id="{F5D5464B-8B69-46F9-AAD3-5A86C9430EA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0" name="Shape 11">
          <a:extLst>
            <a:ext uri="{FF2B5EF4-FFF2-40B4-BE49-F238E27FC236}">
              <a16:creationId xmlns:a16="http://schemas.microsoft.com/office/drawing/2014/main" id="{3DD6D0EF-2148-4ECA-8B92-02AE240ABF8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1" name="Shape 11">
          <a:extLst>
            <a:ext uri="{FF2B5EF4-FFF2-40B4-BE49-F238E27FC236}">
              <a16:creationId xmlns:a16="http://schemas.microsoft.com/office/drawing/2014/main" id="{B74A2133-848B-49F9-A209-124C62521E8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2" name="Shape 11">
          <a:extLst>
            <a:ext uri="{FF2B5EF4-FFF2-40B4-BE49-F238E27FC236}">
              <a16:creationId xmlns:a16="http://schemas.microsoft.com/office/drawing/2014/main" id="{AD0209CC-D175-478E-9E12-E4670C1AFCA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3" name="Shape 11">
          <a:extLst>
            <a:ext uri="{FF2B5EF4-FFF2-40B4-BE49-F238E27FC236}">
              <a16:creationId xmlns:a16="http://schemas.microsoft.com/office/drawing/2014/main" id="{B478CE25-B1C3-4B17-BF11-A44272BF679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4" name="Shape 11">
          <a:extLst>
            <a:ext uri="{FF2B5EF4-FFF2-40B4-BE49-F238E27FC236}">
              <a16:creationId xmlns:a16="http://schemas.microsoft.com/office/drawing/2014/main" id="{FBECC577-9854-49A0-B017-E853B345C4C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5" name="Shape 10">
          <a:extLst>
            <a:ext uri="{FF2B5EF4-FFF2-40B4-BE49-F238E27FC236}">
              <a16:creationId xmlns:a16="http://schemas.microsoft.com/office/drawing/2014/main" id="{D18C07F5-CA8F-4AA2-BA65-09FD2E22E42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6" name="Shape 11">
          <a:extLst>
            <a:ext uri="{FF2B5EF4-FFF2-40B4-BE49-F238E27FC236}">
              <a16:creationId xmlns:a16="http://schemas.microsoft.com/office/drawing/2014/main" id="{8704D537-0AE5-4E8E-A3AF-4D7B912A22D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7" name="Shape 13">
          <a:extLst>
            <a:ext uri="{FF2B5EF4-FFF2-40B4-BE49-F238E27FC236}">
              <a16:creationId xmlns:a16="http://schemas.microsoft.com/office/drawing/2014/main" id="{25047032-B3C7-487F-BB63-98C76183E445}"/>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28" name="Shape 14">
          <a:extLst>
            <a:ext uri="{FF2B5EF4-FFF2-40B4-BE49-F238E27FC236}">
              <a16:creationId xmlns:a16="http://schemas.microsoft.com/office/drawing/2014/main" id="{8A64438B-36B5-4661-8B16-EC7089FA3B10}"/>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9" name="Shape 10">
          <a:extLst>
            <a:ext uri="{FF2B5EF4-FFF2-40B4-BE49-F238E27FC236}">
              <a16:creationId xmlns:a16="http://schemas.microsoft.com/office/drawing/2014/main" id="{421AAC2D-F1B1-419C-A6B0-FE9AB275977D}"/>
            </a:ext>
          </a:extLst>
        </xdr:cNvPr>
        <xdr:cNvSpPr txBox="1"/>
      </xdr:nvSpPr>
      <xdr:spPr>
        <a:xfrm>
          <a:off x="4124325" y="90678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30" name="Shape 14">
          <a:extLst>
            <a:ext uri="{FF2B5EF4-FFF2-40B4-BE49-F238E27FC236}">
              <a16:creationId xmlns:a16="http://schemas.microsoft.com/office/drawing/2014/main" id="{DA7908CA-E133-473A-B6DC-C5AEAD7A0B4F}"/>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1" name="Shape 11">
          <a:extLst>
            <a:ext uri="{FF2B5EF4-FFF2-40B4-BE49-F238E27FC236}">
              <a16:creationId xmlns:a16="http://schemas.microsoft.com/office/drawing/2014/main" id="{FC0565B4-51DA-4323-8A0B-9AE8D4BAACB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2" name="Shape 10">
          <a:extLst>
            <a:ext uri="{FF2B5EF4-FFF2-40B4-BE49-F238E27FC236}">
              <a16:creationId xmlns:a16="http://schemas.microsoft.com/office/drawing/2014/main" id="{9F71741E-DAEC-4F35-B558-CF1C3B03283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3" name="Shape 11">
          <a:extLst>
            <a:ext uri="{FF2B5EF4-FFF2-40B4-BE49-F238E27FC236}">
              <a16:creationId xmlns:a16="http://schemas.microsoft.com/office/drawing/2014/main" id="{C830E537-9FD7-4BA8-A3C7-BDC97C91B48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4" name="Shape 11">
          <a:extLst>
            <a:ext uri="{FF2B5EF4-FFF2-40B4-BE49-F238E27FC236}">
              <a16:creationId xmlns:a16="http://schemas.microsoft.com/office/drawing/2014/main" id="{82CAE307-5F5C-49FF-9F21-7BDE8EE1E9C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5" name="Shape 11">
          <a:extLst>
            <a:ext uri="{FF2B5EF4-FFF2-40B4-BE49-F238E27FC236}">
              <a16:creationId xmlns:a16="http://schemas.microsoft.com/office/drawing/2014/main" id="{2FC63F65-1F2D-4291-919E-870156A408F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6" name="Shape 11">
          <a:extLst>
            <a:ext uri="{FF2B5EF4-FFF2-40B4-BE49-F238E27FC236}">
              <a16:creationId xmlns:a16="http://schemas.microsoft.com/office/drawing/2014/main" id="{7B8703E8-A6F7-4626-982C-1C1827FFD4B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7" name="Shape 11">
          <a:extLst>
            <a:ext uri="{FF2B5EF4-FFF2-40B4-BE49-F238E27FC236}">
              <a16:creationId xmlns:a16="http://schemas.microsoft.com/office/drawing/2014/main" id="{2C639030-EA5E-4609-835F-3B9E0CC85C5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8" name="Shape 10">
          <a:extLst>
            <a:ext uri="{FF2B5EF4-FFF2-40B4-BE49-F238E27FC236}">
              <a16:creationId xmlns:a16="http://schemas.microsoft.com/office/drawing/2014/main" id="{0179C50C-4360-405A-A341-8736963E871B}"/>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9" name="Shape 11">
          <a:extLst>
            <a:ext uri="{FF2B5EF4-FFF2-40B4-BE49-F238E27FC236}">
              <a16:creationId xmlns:a16="http://schemas.microsoft.com/office/drawing/2014/main" id="{C83E24BB-B49E-46B3-A274-4EF0E14B232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0" name="Shape 11">
          <a:extLst>
            <a:ext uri="{FF2B5EF4-FFF2-40B4-BE49-F238E27FC236}">
              <a16:creationId xmlns:a16="http://schemas.microsoft.com/office/drawing/2014/main" id="{D75EFF21-C1D9-4176-A3E5-2D6B4AD3D9F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1" name="Shape 11">
          <a:extLst>
            <a:ext uri="{FF2B5EF4-FFF2-40B4-BE49-F238E27FC236}">
              <a16:creationId xmlns:a16="http://schemas.microsoft.com/office/drawing/2014/main" id="{51FB48EA-6BF3-43D9-B00A-5C6F6DB0C3A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2" name="Shape 11">
          <a:extLst>
            <a:ext uri="{FF2B5EF4-FFF2-40B4-BE49-F238E27FC236}">
              <a16:creationId xmlns:a16="http://schemas.microsoft.com/office/drawing/2014/main" id="{921AFEE4-9131-44A1-9F3D-C0DEC3EDDE6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3" name="Shape 11">
          <a:extLst>
            <a:ext uri="{FF2B5EF4-FFF2-40B4-BE49-F238E27FC236}">
              <a16:creationId xmlns:a16="http://schemas.microsoft.com/office/drawing/2014/main" id="{AF7A5CE4-4307-468E-AC22-50B6CE40847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44" name="Shape 10">
          <a:extLst>
            <a:ext uri="{FF2B5EF4-FFF2-40B4-BE49-F238E27FC236}">
              <a16:creationId xmlns:a16="http://schemas.microsoft.com/office/drawing/2014/main" id="{5412A836-F180-4C35-A494-DDCFB7551CBF}"/>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5" name="Shape 11">
          <a:extLst>
            <a:ext uri="{FF2B5EF4-FFF2-40B4-BE49-F238E27FC236}">
              <a16:creationId xmlns:a16="http://schemas.microsoft.com/office/drawing/2014/main" id="{F752EEE2-8BB4-4F56-BE9C-2152F58072A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6" name="Shape 11">
          <a:extLst>
            <a:ext uri="{FF2B5EF4-FFF2-40B4-BE49-F238E27FC236}">
              <a16:creationId xmlns:a16="http://schemas.microsoft.com/office/drawing/2014/main" id="{7B892976-BDFF-436B-BDA9-2AE86B639EB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7" name="Shape 11">
          <a:extLst>
            <a:ext uri="{FF2B5EF4-FFF2-40B4-BE49-F238E27FC236}">
              <a16:creationId xmlns:a16="http://schemas.microsoft.com/office/drawing/2014/main" id="{83D07462-EEE2-4228-A243-9C48A7599D0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8" name="Shape 11">
          <a:extLst>
            <a:ext uri="{FF2B5EF4-FFF2-40B4-BE49-F238E27FC236}">
              <a16:creationId xmlns:a16="http://schemas.microsoft.com/office/drawing/2014/main" id="{630AF0A9-3E46-4EAA-917C-3F6363C57FD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9" name="Shape 11">
          <a:extLst>
            <a:ext uri="{FF2B5EF4-FFF2-40B4-BE49-F238E27FC236}">
              <a16:creationId xmlns:a16="http://schemas.microsoft.com/office/drawing/2014/main" id="{2C5A7FE7-263D-4AC3-B16A-80CB8EF98FC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0" name="Shape 10">
          <a:extLst>
            <a:ext uri="{FF2B5EF4-FFF2-40B4-BE49-F238E27FC236}">
              <a16:creationId xmlns:a16="http://schemas.microsoft.com/office/drawing/2014/main" id="{773D4D70-C184-487B-991B-FD2CB13D9C90}"/>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1" name="Shape 11">
          <a:extLst>
            <a:ext uri="{FF2B5EF4-FFF2-40B4-BE49-F238E27FC236}">
              <a16:creationId xmlns:a16="http://schemas.microsoft.com/office/drawing/2014/main" id="{191884EA-48D7-4379-A7E7-F8F5C42FF17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2" name="Shape 11">
          <a:extLst>
            <a:ext uri="{FF2B5EF4-FFF2-40B4-BE49-F238E27FC236}">
              <a16:creationId xmlns:a16="http://schemas.microsoft.com/office/drawing/2014/main" id="{9E3B9BBE-D91D-466E-B9B0-41FDC368F0E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3" name="Shape 11">
          <a:extLst>
            <a:ext uri="{FF2B5EF4-FFF2-40B4-BE49-F238E27FC236}">
              <a16:creationId xmlns:a16="http://schemas.microsoft.com/office/drawing/2014/main" id="{75C8A7BA-EA67-49A9-895A-A3632D0095B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4" name="Shape 11">
          <a:extLst>
            <a:ext uri="{FF2B5EF4-FFF2-40B4-BE49-F238E27FC236}">
              <a16:creationId xmlns:a16="http://schemas.microsoft.com/office/drawing/2014/main" id="{1CC4E2E8-E19B-49D6-B03A-C20A7E7BAEA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5" name="Shape 11">
          <a:extLst>
            <a:ext uri="{FF2B5EF4-FFF2-40B4-BE49-F238E27FC236}">
              <a16:creationId xmlns:a16="http://schemas.microsoft.com/office/drawing/2014/main" id="{D5A2A888-CFD5-4A9C-A6B8-22FEB37D2D0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6" name="Shape 10">
          <a:extLst>
            <a:ext uri="{FF2B5EF4-FFF2-40B4-BE49-F238E27FC236}">
              <a16:creationId xmlns:a16="http://schemas.microsoft.com/office/drawing/2014/main" id="{C378724E-4FB4-4EB5-9539-0ED6BF448D6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7" name="Shape 11">
          <a:extLst>
            <a:ext uri="{FF2B5EF4-FFF2-40B4-BE49-F238E27FC236}">
              <a16:creationId xmlns:a16="http://schemas.microsoft.com/office/drawing/2014/main" id="{F981C6C3-55BB-4B56-8933-EC8CD62AD6B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8" name="Shape 11">
          <a:extLst>
            <a:ext uri="{FF2B5EF4-FFF2-40B4-BE49-F238E27FC236}">
              <a16:creationId xmlns:a16="http://schemas.microsoft.com/office/drawing/2014/main" id="{CE6FA26B-C16D-46D9-913C-A9BE8074283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9" name="Shape 11">
          <a:extLst>
            <a:ext uri="{FF2B5EF4-FFF2-40B4-BE49-F238E27FC236}">
              <a16:creationId xmlns:a16="http://schemas.microsoft.com/office/drawing/2014/main" id="{B4121DC6-33D7-48E2-AA9F-CBC727485B2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0" name="Shape 11">
          <a:extLst>
            <a:ext uri="{FF2B5EF4-FFF2-40B4-BE49-F238E27FC236}">
              <a16:creationId xmlns:a16="http://schemas.microsoft.com/office/drawing/2014/main" id="{C1AE49DB-CF59-403A-AA8F-09AE8091B2C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1" name="Shape 11">
          <a:extLst>
            <a:ext uri="{FF2B5EF4-FFF2-40B4-BE49-F238E27FC236}">
              <a16:creationId xmlns:a16="http://schemas.microsoft.com/office/drawing/2014/main" id="{767C8329-CA0A-4ED8-9EE1-2E1E0A59E89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2" name="Shape 10">
          <a:extLst>
            <a:ext uri="{FF2B5EF4-FFF2-40B4-BE49-F238E27FC236}">
              <a16:creationId xmlns:a16="http://schemas.microsoft.com/office/drawing/2014/main" id="{A9AED7BE-CBC6-4BBD-A1E9-2B4408E1E77F}"/>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3" name="Shape 11">
          <a:extLst>
            <a:ext uri="{FF2B5EF4-FFF2-40B4-BE49-F238E27FC236}">
              <a16:creationId xmlns:a16="http://schemas.microsoft.com/office/drawing/2014/main" id="{CA24A3DD-6054-43F3-AFB4-BC00715AE98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4" name="Shape 11">
          <a:extLst>
            <a:ext uri="{FF2B5EF4-FFF2-40B4-BE49-F238E27FC236}">
              <a16:creationId xmlns:a16="http://schemas.microsoft.com/office/drawing/2014/main" id="{02DA6CE3-052A-4460-9267-08C88CDE474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5" name="Shape 11">
          <a:extLst>
            <a:ext uri="{FF2B5EF4-FFF2-40B4-BE49-F238E27FC236}">
              <a16:creationId xmlns:a16="http://schemas.microsoft.com/office/drawing/2014/main" id="{8587564D-4EA0-4251-B3AA-BC6747D61CD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6" name="Shape 11">
          <a:extLst>
            <a:ext uri="{FF2B5EF4-FFF2-40B4-BE49-F238E27FC236}">
              <a16:creationId xmlns:a16="http://schemas.microsoft.com/office/drawing/2014/main" id="{00FAAE8D-8239-4FF8-9F0F-817B684CED0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7" name="Shape 11">
          <a:extLst>
            <a:ext uri="{FF2B5EF4-FFF2-40B4-BE49-F238E27FC236}">
              <a16:creationId xmlns:a16="http://schemas.microsoft.com/office/drawing/2014/main" id="{CC8A60D1-B532-448A-83D7-827315D35B9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8" name="Shape 10">
          <a:extLst>
            <a:ext uri="{FF2B5EF4-FFF2-40B4-BE49-F238E27FC236}">
              <a16:creationId xmlns:a16="http://schemas.microsoft.com/office/drawing/2014/main" id="{522B906A-4E0E-44FB-A5E6-623B0D22300A}"/>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9" name="Shape 11">
          <a:extLst>
            <a:ext uri="{FF2B5EF4-FFF2-40B4-BE49-F238E27FC236}">
              <a16:creationId xmlns:a16="http://schemas.microsoft.com/office/drawing/2014/main" id="{4F9A4721-0D5F-4519-AB7E-AC48723F9E2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0" name="Shape 13">
          <a:extLst>
            <a:ext uri="{FF2B5EF4-FFF2-40B4-BE49-F238E27FC236}">
              <a16:creationId xmlns:a16="http://schemas.microsoft.com/office/drawing/2014/main" id="{0C517109-A3D3-4593-80A3-F3492749CB5C}"/>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1" name="Shape 14">
          <a:extLst>
            <a:ext uri="{FF2B5EF4-FFF2-40B4-BE49-F238E27FC236}">
              <a16:creationId xmlns:a16="http://schemas.microsoft.com/office/drawing/2014/main" id="{9CCB15EE-CEF8-4C3E-81AB-CC819E6A1590}"/>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2" name="Shape 10">
          <a:extLst>
            <a:ext uri="{FF2B5EF4-FFF2-40B4-BE49-F238E27FC236}">
              <a16:creationId xmlns:a16="http://schemas.microsoft.com/office/drawing/2014/main" id="{2F1A8C25-8613-405A-AA2D-5F73B2CAC85D}"/>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3" name="Shape 12">
          <a:extLst>
            <a:ext uri="{FF2B5EF4-FFF2-40B4-BE49-F238E27FC236}">
              <a16:creationId xmlns:a16="http://schemas.microsoft.com/office/drawing/2014/main" id="{3F5E7BB0-D6C7-460A-B58F-925E7EBA6189}"/>
            </a:ext>
          </a:extLst>
        </xdr:cNvPr>
        <xdr:cNvSpPr txBox="1"/>
      </xdr:nvSpPr>
      <xdr:spPr>
        <a:xfrm>
          <a:off x="0" y="89058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4" name="Shape 11">
          <a:extLst>
            <a:ext uri="{FF2B5EF4-FFF2-40B4-BE49-F238E27FC236}">
              <a16:creationId xmlns:a16="http://schemas.microsoft.com/office/drawing/2014/main" id="{1AE514B4-1841-40A5-8B75-CB97942938F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5" name="Shape 10">
          <a:extLst>
            <a:ext uri="{FF2B5EF4-FFF2-40B4-BE49-F238E27FC236}">
              <a16:creationId xmlns:a16="http://schemas.microsoft.com/office/drawing/2014/main" id="{F37378F4-8D63-4224-8522-0BE9902F1CF6}"/>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6" name="Shape 11">
          <a:extLst>
            <a:ext uri="{FF2B5EF4-FFF2-40B4-BE49-F238E27FC236}">
              <a16:creationId xmlns:a16="http://schemas.microsoft.com/office/drawing/2014/main" id="{D7A3CE02-AA1E-4F48-A44C-5BB07267E0A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7" name="Shape 11">
          <a:extLst>
            <a:ext uri="{FF2B5EF4-FFF2-40B4-BE49-F238E27FC236}">
              <a16:creationId xmlns:a16="http://schemas.microsoft.com/office/drawing/2014/main" id="{B6762546-042A-4ED4-8D62-34A2938090F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8" name="Shape 11">
          <a:extLst>
            <a:ext uri="{FF2B5EF4-FFF2-40B4-BE49-F238E27FC236}">
              <a16:creationId xmlns:a16="http://schemas.microsoft.com/office/drawing/2014/main" id="{38D4FB93-0D70-4D97-AD44-98EC277053A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9" name="Shape 11">
          <a:extLst>
            <a:ext uri="{FF2B5EF4-FFF2-40B4-BE49-F238E27FC236}">
              <a16:creationId xmlns:a16="http://schemas.microsoft.com/office/drawing/2014/main" id="{5CE69AFB-4E23-4845-9923-6A4294257ED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0" name="Shape 11">
          <a:extLst>
            <a:ext uri="{FF2B5EF4-FFF2-40B4-BE49-F238E27FC236}">
              <a16:creationId xmlns:a16="http://schemas.microsoft.com/office/drawing/2014/main" id="{58221FF3-7623-47DF-A27E-DC450C3EDEF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1" name="Shape 10">
          <a:extLst>
            <a:ext uri="{FF2B5EF4-FFF2-40B4-BE49-F238E27FC236}">
              <a16:creationId xmlns:a16="http://schemas.microsoft.com/office/drawing/2014/main" id="{36A8A17E-7476-4828-BB0E-222777AB0B8F}"/>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2" name="Shape 11">
          <a:extLst>
            <a:ext uri="{FF2B5EF4-FFF2-40B4-BE49-F238E27FC236}">
              <a16:creationId xmlns:a16="http://schemas.microsoft.com/office/drawing/2014/main" id="{3BA09F4D-469D-4E46-8CB8-AF020A45B2C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3" name="Shape 11">
          <a:extLst>
            <a:ext uri="{FF2B5EF4-FFF2-40B4-BE49-F238E27FC236}">
              <a16:creationId xmlns:a16="http://schemas.microsoft.com/office/drawing/2014/main" id="{7316CB91-A686-4D7F-B440-2031082C771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4" name="Shape 11">
          <a:extLst>
            <a:ext uri="{FF2B5EF4-FFF2-40B4-BE49-F238E27FC236}">
              <a16:creationId xmlns:a16="http://schemas.microsoft.com/office/drawing/2014/main" id="{D2BCC779-6D01-4F53-BAA9-B93285EED8A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5" name="Shape 11">
          <a:extLst>
            <a:ext uri="{FF2B5EF4-FFF2-40B4-BE49-F238E27FC236}">
              <a16:creationId xmlns:a16="http://schemas.microsoft.com/office/drawing/2014/main" id="{976C27B8-318C-4E34-A0D7-BAC9D5B7E8D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6" name="Shape 11">
          <a:extLst>
            <a:ext uri="{FF2B5EF4-FFF2-40B4-BE49-F238E27FC236}">
              <a16:creationId xmlns:a16="http://schemas.microsoft.com/office/drawing/2014/main" id="{C9FC1201-FEFD-4A16-81ED-684593880A2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7" name="Shape 10">
          <a:extLst>
            <a:ext uri="{FF2B5EF4-FFF2-40B4-BE49-F238E27FC236}">
              <a16:creationId xmlns:a16="http://schemas.microsoft.com/office/drawing/2014/main" id="{A7C1EB74-77D3-4492-8D74-542FEE16BF33}"/>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8" name="Shape 11">
          <a:extLst>
            <a:ext uri="{FF2B5EF4-FFF2-40B4-BE49-F238E27FC236}">
              <a16:creationId xmlns:a16="http://schemas.microsoft.com/office/drawing/2014/main" id="{27E54D30-B81D-4EB7-9151-7516E253426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9" name="Shape 11">
          <a:extLst>
            <a:ext uri="{FF2B5EF4-FFF2-40B4-BE49-F238E27FC236}">
              <a16:creationId xmlns:a16="http://schemas.microsoft.com/office/drawing/2014/main" id="{5CB8F305-BB1A-4AE4-9411-432C895E99C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0" name="Shape 11">
          <a:extLst>
            <a:ext uri="{FF2B5EF4-FFF2-40B4-BE49-F238E27FC236}">
              <a16:creationId xmlns:a16="http://schemas.microsoft.com/office/drawing/2014/main" id="{C805EF1C-7504-4325-8823-6644FEF4619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1" name="Shape 11">
          <a:extLst>
            <a:ext uri="{FF2B5EF4-FFF2-40B4-BE49-F238E27FC236}">
              <a16:creationId xmlns:a16="http://schemas.microsoft.com/office/drawing/2014/main" id="{8F2EA751-FCA9-4550-A544-3933FDAFDA3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2" name="Shape 11">
          <a:extLst>
            <a:ext uri="{FF2B5EF4-FFF2-40B4-BE49-F238E27FC236}">
              <a16:creationId xmlns:a16="http://schemas.microsoft.com/office/drawing/2014/main" id="{1FAF6EE0-E219-4ECE-A343-1A521239849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3" name="Shape 10">
          <a:extLst>
            <a:ext uri="{FF2B5EF4-FFF2-40B4-BE49-F238E27FC236}">
              <a16:creationId xmlns:a16="http://schemas.microsoft.com/office/drawing/2014/main" id="{D6D9C113-3EA4-423E-8E2B-9DD276E991B4}"/>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4" name="Shape 11">
          <a:extLst>
            <a:ext uri="{FF2B5EF4-FFF2-40B4-BE49-F238E27FC236}">
              <a16:creationId xmlns:a16="http://schemas.microsoft.com/office/drawing/2014/main" id="{EE095C9E-3DE9-4EAE-ABF5-D0EA453AE83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5" name="Shape 11">
          <a:extLst>
            <a:ext uri="{FF2B5EF4-FFF2-40B4-BE49-F238E27FC236}">
              <a16:creationId xmlns:a16="http://schemas.microsoft.com/office/drawing/2014/main" id="{C23AA968-8ED5-4939-9CEA-CE20D35D913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6" name="Shape 11">
          <a:extLst>
            <a:ext uri="{FF2B5EF4-FFF2-40B4-BE49-F238E27FC236}">
              <a16:creationId xmlns:a16="http://schemas.microsoft.com/office/drawing/2014/main" id="{B679A6BE-3063-4B7C-B556-1B900CA7585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7" name="Shape 11">
          <a:extLst>
            <a:ext uri="{FF2B5EF4-FFF2-40B4-BE49-F238E27FC236}">
              <a16:creationId xmlns:a16="http://schemas.microsoft.com/office/drawing/2014/main" id="{80901E99-F903-4F60-BE90-07414A01A5F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8" name="Shape 11">
          <a:extLst>
            <a:ext uri="{FF2B5EF4-FFF2-40B4-BE49-F238E27FC236}">
              <a16:creationId xmlns:a16="http://schemas.microsoft.com/office/drawing/2014/main" id="{227FB477-6ADD-462F-905D-44B45196375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9" name="Shape 10">
          <a:extLst>
            <a:ext uri="{FF2B5EF4-FFF2-40B4-BE49-F238E27FC236}">
              <a16:creationId xmlns:a16="http://schemas.microsoft.com/office/drawing/2014/main" id="{7FD3A0CC-F0F6-4E4B-91BB-4F480D96338C}"/>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0" name="Shape 11">
          <a:extLst>
            <a:ext uri="{FF2B5EF4-FFF2-40B4-BE49-F238E27FC236}">
              <a16:creationId xmlns:a16="http://schemas.microsoft.com/office/drawing/2014/main" id="{7583F74B-1D49-4124-B86A-AFDE2E22A9E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1" name="Shape 11">
          <a:extLst>
            <a:ext uri="{FF2B5EF4-FFF2-40B4-BE49-F238E27FC236}">
              <a16:creationId xmlns:a16="http://schemas.microsoft.com/office/drawing/2014/main" id="{2CBC270A-80ED-4ADF-B788-2B54F6D1FAE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2" name="Shape 11">
          <a:extLst>
            <a:ext uri="{FF2B5EF4-FFF2-40B4-BE49-F238E27FC236}">
              <a16:creationId xmlns:a16="http://schemas.microsoft.com/office/drawing/2014/main" id="{6FE39B83-CA72-44DC-BF2C-571F3A72CEE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3" name="Shape 11">
          <a:extLst>
            <a:ext uri="{FF2B5EF4-FFF2-40B4-BE49-F238E27FC236}">
              <a16:creationId xmlns:a16="http://schemas.microsoft.com/office/drawing/2014/main" id="{CC7325B4-D413-48D9-BB25-2B0EE9CFC31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4" name="Shape 11">
          <a:extLst>
            <a:ext uri="{FF2B5EF4-FFF2-40B4-BE49-F238E27FC236}">
              <a16:creationId xmlns:a16="http://schemas.microsoft.com/office/drawing/2014/main" id="{D2B53067-0A59-439C-BF6B-6AD03C2D976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05" name="Shape 10">
          <a:extLst>
            <a:ext uri="{FF2B5EF4-FFF2-40B4-BE49-F238E27FC236}">
              <a16:creationId xmlns:a16="http://schemas.microsoft.com/office/drawing/2014/main" id="{C9FC7473-284C-40D6-A0BB-A4B9C08582E2}"/>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6" name="Shape 11">
          <a:extLst>
            <a:ext uri="{FF2B5EF4-FFF2-40B4-BE49-F238E27FC236}">
              <a16:creationId xmlns:a16="http://schemas.microsoft.com/office/drawing/2014/main" id="{93E6EE57-302D-48CC-8C6A-1E5E0AC44CD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7" name="Shape 11">
          <a:extLst>
            <a:ext uri="{FF2B5EF4-FFF2-40B4-BE49-F238E27FC236}">
              <a16:creationId xmlns:a16="http://schemas.microsoft.com/office/drawing/2014/main" id="{B3712BF5-EB15-41AB-A933-19B002C25B2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8" name="Shape 11">
          <a:extLst>
            <a:ext uri="{FF2B5EF4-FFF2-40B4-BE49-F238E27FC236}">
              <a16:creationId xmlns:a16="http://schemas.microsoft.com/office/drawing/2014/main" id="{2088734C-20A5-4DA2-8818-0F8634B5E30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9" name="Shape 11">
          <a:extLst>
            <a:ext uri="{FF2B5EF4-FFF2-40B4-BE49-F238E27FC236}">
              <a16:creationId xmlns:a16="http://schemas.microsoft.com/office/drawing/2014/main" id="{EE86ADD2-8A0C-45F1-B051-ACE1468C866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0" name="Shape 11">
          <a:extLst>
            <a:ext uri="{FF2B5EF4-FFF2-40B4-BE49-F238E27FC236}">
              <a16:creationId xmlns:a16="http://schemas.microsoft.com/office/drawing/2014/main" id="{02A6C4BB-D99A-4061-847D-3F7932EE40B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1" name="Shape 10">
          <a:extLst>
            <a:ext uri="{FF2B5EF4-FFF2-40B4-BE49-F238E27FC236}">
              <a16:creationId xmlns:a16="http://schemas.microsoft.com/office/drawing/2014/main" id="{4AA03C5A-086B-4E26-917E-F95580086881}"/>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2" name="Shape 11">
          <a:extLst>
            <a:ext uri="{FF2B5EF4-FFF2-40B4-BE49-F238E27FC236}">
              <a16:creationId xmlns:a16="http://schemas.microsoft.com/office/drawing/2014/main" id="{880A5551-A820-48F4-B373-AFE71BE70E8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3" name="Shape 13">
          <a:extLst>
            <a:ext uri="{FF2B5EF4-FFF2-40B4-BE49-F238E27FC236}">
              <a16:creationId xmlns:a16="http://schemas.microsoft.com/office/drawing/2014/main" id="{C9CD361E-4198-40C1-A919-BEFB28231BD8}"/>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4" name="Shape 14">
          <a:extLst>
            <a:ext uri="{FF2B5EF4-FFF2-40B4-BE49-F238E27FC236}">
              <a16:creationId xmlns:a16="http://schemas.microsoft.com/office/drawing/2014/main" id="{82C6E3CF-B99D-48EB-94E8-FA80722F1746}"/>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5" name="Shape 10">
          <a:extLst>
            <a:ext uri="{FF2B5EF4-FFF2-40B4-BE49-F238E27FC236}">
              <a16:creationId xmlns:a16="http://schemas.microsoft.com/office/drawing/2014/main" id="{B70F7420-0230-40E5-A3B0-A472860FAAB6}"/>
            </a:ext>
          </a:extLst>
        </xdr:cNvPr>
        <xdr:cNvSpPr txBox="1"/>
      </xdr:nvSpPr>
      <xdr:spPr>
        <a:xfrm>
          <a:off x="4124325" y="181356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6" name="Shape 14">
          <a:extLst>
            <a:ext uri="{FF2B5EF4-FFF2-40B4-BE49-F238E27FC236}">
              <a16:creationId xmlns:a16="http://schemas.microsoft.com/office/drawing/2014/main" id="{07058AB2-EA2F-411F-B31E-8FDAA8034E44}"/>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7" name="Shape 11">
          <a:extLst>
            <a:ext uri="{FF2B5EF4-FFF2-40B4-BE49-F238E27FC236}">
              <a16:creationId xmlns:a16="http://schemas.microsoft.com/office/drawing/2014/main" id="{134D987A-0713-4383-B2C0-31E33931291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8" name="Shape 10">
          <a:extLst>
            <a:ext uri="{FF2B5EF4-FFF2-40B4-BE49-F238E27FC236}">
              <a16:creationId xmlns:a16="http://schemas.microsoft.com/office/drawing/2014/main" id="{68DA29C7-C917-4430-A763-79E5B5641E85}"/>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9" name="Shape 11">
          <a:extLst>
            <a:ext uri="{FF2B5EF4-FFF2-40B4-BE49-F238E27FC236}">
              <a16:creationId xmlns:a16="http://schemas.microsoft.com/office/drawing/2014/main" id="{9836EAA0-C27E-490A-8EF2-21BA78CC0B6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0" name="Shape 11">
          <a:extLst>
            <a:ext uri="{FF2B5EF4-FFF2-40B4-BE49-F238E27FC236}">
              <a16:creationId xmlns:a16="http://schemas.microsoft.com/office/drawing/2014/main" id="{B169B166-51CF-45A2-84DF-35F1816B1D5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1" name="Shape 11">
          <a:extLst>
            <a:ext uri="{FF2B5EF4-FFF2-40B4-BE49-F238E27FC236}">
              <a16:creationId xmlns:a16="http://schemas.microsoft.com/office/drawing/2014/main" id="{F46452EA-3BB4-4E40-AEDD-C8805772382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2" name="Shape 11">
          <a:extLst>
            <a:ext uri="{FF2B5EF4-FFF2-40B4-BE49-F238E27FC236}">
              <a16:creationId xmlns:a16="http://schemas.microsoft.com/office/drawing/2014/main" id="{B773C878-98F5-482C-8811-72F6E3ED41E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3" name="Shape 11">
          <a:extLst>
            <a:ext uri="{FF2B5EF4-FFF2-40B4-BE49-F238E27FC236}">
              <a16:creationId xmlns:a16="http://schemas.microsoft.com/office/drawing/2014/main" id="{023C4CF8-1EEF-4086-8BD0-C8F2C7237B0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24" name="Shape 10">
          <a:extLst>
            <a:ext uri="{FF2B5EF4-FFF2-40B4-BE49-F238E27FC236}">
              <a16:creationId xmlns:a16="http://schemas.microsoft.com/office/drawing/2014/main" id="{7D929B80-B87D-479C-AE6A-1F52F03E6E1E}"/>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5" name="Shape 11">
          <a:extLst>
            <a:ext uri="{FF2B5EF4-FFF2-40B4-BE49-F238E27FC236}">
              <a16:creationId xmlns:a16="http://schemas.microsoft.com/office/drawing/2014/main" id="{B1E778D7-4F11-4B89-B236-026EE9CD864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6" name="Shape 11">
          <a:extLst>
            <a:ext uri="{FF2B5EF4-FFF2-40B4-BE49-F238E27FC236}">
              <a16:creationId xmlns:a16="http://schemas.microsoft.com/office/drawing/2014/main" id="{752BB4ED-5F42-4EDB-9434-5A19C2306BD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7" name="Shape 11">
          <a:extLst>
            <a:ext uri="{FF2B5EF4-FFF2-40B4-BE49-F238E27FC236}">
              <a16:creationId xmlns:a16="http://schemas.microsoft.com/office/drawing/2014/main" id="{9FCBB07A-5E5D-46C0-B4BC-2219B2F49D5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8" name="Shape 11">
          <a:extLst>
            <a:ext uri="{FF2B5EF4-FFF2-40B4-BE49-F238E27FC236}">
              <a16:creationId xmlns:a16="http://schemas.microsoft.com/office/drawing/2014/main" id="{697088A8-25A7-4E0C-AD87-4CD83D94365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9" name="Shape 11">
          <a:extLst>
            <a:ext uri="{FF2B5EF4-FFF2-40B4-BE49-F238E27FC236}">
              <a16:creationId xmlns:a16="http://schemas.microsoft.com/office/drawing/2014/main" id="{7DD852E1-200A-4C4A-974C-D0431C0E9EB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0" name="Shape 10">
          <a:extLst>
            <a:ext uri="{FF2B5EF4-FFF2-40B4-BE49-F238E27FC236}">
              <a16:creationId xmlns:a16="http://schemas.microsoft.com/office/drawing/2014/main" id="{6DC274F9-F462-4C69-ADAC-06CCCDA9046B}"/>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1" name="Shape 11">
          <a:extLst>
            <a:ext uri="{FF2B5EF4-FFF2-40B4-BE49-F238E27FC236}">
              <a16:creationId xmlns:a16="http://schemas.microsoft.com/office/drawing/2014/main" id="{9424CC74-72FF-4C49-9B42-E6FA4A6BBE0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2" name="Shape 11">
          <a:extLst>
            <a:ext uri="{FF2B5EF4-FFF2-40B4-BE49-F238E27FC236}">
              <a16:creationId xmlns:a16="http://schemas.microsoft.com/office/drawing/2014/main" id="{ADF8AF37-B185-4EF4-9E37-E3A3003C78C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3" name="Shape 11">
          <a:extLst>
            <a:ext uri="{FF2B5EF4-FFF2-40B4-BE49-F238E27FC236}">
              <a16:creationId xmlns:a16="http://schemas.microsoft.com/office/drawing/2014/main" id="{BCF84F7D-57D1-4412-9E34-D571C531A5D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4" name="Shape 11">
          <a:extLst>
            <a:ext uri="{FF2B5EF4-FFF2-40B4-BE49-F238E27FC236}">
              <a16:creationId xmlns:a16="http://schemas.microsoft.com/office/drawing/2014/main" id="{CD5DA078-4430-4634-8A25-546B5763173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5" name="Shape 11">
          <a:extLst>
            <a:ext uri="{FF2B5EF4-FFF2-40B4-BE49-F238E27FC236}">
              <a16:creationId xmlns:a16="http://schemas.microsoft.com/office/drawing/2014/main" id="{162E2656-C8A4-4BE8-90E3-FA596695CA6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6" name="Shape 10">
          <a:extLst>
            <a:ext uri="{FF2B5EF4-FFF2-40B4-BE49-F238E27FC236}">
              <a16:creationId xmlns:a16="http://schemas.microsoft.com/office/drawing/2014/main" id="{DA1AC903-D8DC-48C2-8BA8-BA692419D2FC}"/>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7" name="Shape 11">
          <a:extLst>
            <a:ext uri="{FF2B5EF4-FFF2-40B4-BE49-F238E27FC236}">
              <a16:creationId xmlns:a16="http://schemas.microsoft.com/office/drawing/2014/main" id="{A3FB2C4D-633A-4012-A382-7FD7D2DB811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8" name="Shape 11">
          <a:extLst>
            <a:ext uri="{FF2B5EF4-FFF2-40B4-BE49-F238E27FC236}">
              <a16:creationId xmlns:a16="http://schemas.microsoft.com/office/drawing/2014/main" id="{16EFD234-E949-4F2B-A94F-6427685DF45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9" name="Shape 11">
          <a:extLst>
            <a:ext uri="{FF2B5EF4-FFF2-40B4-BE49-F238E27FC236}">
              <a16:creationId xmlns:a16="http://schemas.microsoft.com/office/drawing/2014/main" id="{F79ED17C-46FB-4389-80BF-F964C454838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0" name="Shape 11">
          <a:extLst>
            <a:ext uri="{FF2B5EF4-FFF2-40B4-BE49-F238E27FC236}">
              <a16:creationId xmlns:a16="http://schemas.microsoft.com/office/drawing/2014/main" id="{095A4F23-8B74-4D2A-8F27-29409793DDF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1" name="Shape 11">
          <a:extLst>
            <a:ext uri="{FF2B5EF4-FFF2-40B4-BE49-F238E27FC236}">
              <a16:creationId xmlns:a16="http://schemas.microsoft.com/office/drawing/2014/main" id="{DCD4D431-AF8C-4A37-A0F9-730146038F0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2" name="Shape 10">
          <a:extLst>
            <a:ext uri="{FF2B5EF4-FFF2-40B4-BE49-F238E27FC236}">
              <a16:creationId xmlns:a16="http://schemas.microsoft.com/office/drawing/2014/main" id="{63B39D0E-61C6-423B-A3DC-D7834DB59D39}"/>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3" name="Shape 11">
          <a:extLst>
            <a:ext uri="{FF2B5EF4-FFF2-40B4-BE49-F238E27FC236}">
              <a16:creationId xmlns:a16="http://schemas.microsoft.com/office/drawing/2014/main" id="{D8AE6D88-DE7A-4A24-8736-08AD681370D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4" name="Shape 11">
          <a:extLst>
            <a:ext uri="{FF2B5EF4-FFF2-40B4-BE49-F238E27FC236}">
              <a16:creationId xmlns:a16="http://schemas.microsoft.com/office/drawing/2014/main" id="{55B24CA2-F370-4F43-84D3-DC91F98C6E5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5" name="Shape 11">
          <a:extLst>
            <a:ext uri="{FF2B5EF4-FFF2-40B4-BE49-F238E27FC236}">
              <a16:creationId xmlns:a16="http://schemas.microsoft.com/office/drawing/2014/main" id="{E81E2192-315A-4E65-AA98-8ED06906A61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6" name="Shape 11">
          <a:extLst>
            <a:ext uri="{FF2B5EF4-FFF2-40B4-BE49-F238E27FC236}">
              <a16:creationId xmlns:a16="http://schemas.microsoft.com/office/drawing/2014/main" id="{39F1BF18-0DFC-47FC-89DD-6EFAA512B83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7" name="Shape 11">
          <a:extLst>
            <a:ext uri="{FF2B5EF4-FFF2-40B4-BE49-F238E27FC236}">
              <a16:creationId xmlns:a16="http://schemas.microsoft.com/office/drawing/2014/main" id="{4CAF2125-1D0F-4EE8-9D95-58FCE018C31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8" name="Shape 10">
          <a:extLst>
            <a:ext uri="{FF2B5EF4-FFF2-40B4-BE49-F238E27FC236}">
              <a16:creationId xmlns:a16="http://schemas.microsoft.com/office/drawing/2014/main" id="{FB793EC3-2C8B-496A-812D-C43677D1CD5B}"/>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9" name="Shape 11">
          <a:extLst>
            <a:ext uri="{FF2B5EF4-FFF2-40B4-BE49-F238E27FC236}">
              <a16:creationId xmlns:a16="http://schemas.microsoft.com/office/drawing/2014/main" id="{B2F512DA-1EBC-489A-968F-2F61EAA997F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0" name="Shape 11">
          <a:extLst>
            <a:ext uri="{FF2B5EF4-FFF2-40B4-BE49-F238E27FC236}">
              <a16:creationId xmlns:a16="http://schemas.microsoft.com/office/drawing/2014/main" id="{5381BB27-27FF-4520-AE6B-19389502E12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1" name="Shape 11">
          <a:extLst>
            <a:ext uri="{FF2B5EF4-FFF2-40B4-BE49-F238E27FC236}">
              <a16:creationId xmlns:a16="http://schemas.microsoft.com/office/drawing/2014/main" id="{6E88FEEF-92E6-4C38-BEB3-D739877514A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2" name="Shape 11">
          <a:extLst>
            <a:ext uri="{FF2B5EF4-FFF2-40B4-BE49-F238E27FC236}">
              <a16:creationId xmlns:a16="http://schemas.microsoft.com/office/drawing/2014/main" id="{167F417C-7EE7-4AC0-A51E-5052C0AC254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3" name="Shape 11">
          <a:extLst>
            <a:ext uri="{FF2B5EF4-FFF2-40B4-BE49-F238E27FC236}">
              <a16:creationId xmlns:a16="http://schemas.microsoft.com/office/drawing/2014/main" id="{F71FFA62-5E77-4A0F-9F2E-3DBF57D51E9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4" name="Shape 10">
          <a:extLst>
            <a:ext uri="{FF2B5EF4-FFF2-40B4-BE49-F238E27FC236}">
              <a16:creationId xmlns:a16="http://schemas.microsoft.com/office/drawing/2014/main" id="{61452D77-14E1-4D06-8009-45A30DB9CCA7}"/>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5" name="Shape 11">
          <a:extLst>
            <a:ext uri="{FF2B5EF4-FFF2-40B4-BE49-F238E27FC236}">
              <a16:creationId xmlns:a16="http://schemas.microsoft.com/office/drawing/2014/main" id="{0B51AF9F-95D3-4E29-85CF-B2CE247C8DF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6" name="Shape 13">
          <a:extLst>
            <a:ext uri="{FF2B5EF4-FFF2-40B4-BE49-F238E27FC236}">
              <a16:creationId xmlns:a16="http://schemas.microsoft.com/office/drawing/2014/main" id="{14C8FCE1-694B-4EA8-8FB2-FBC93DB1E07D}"/>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7" name="Shape 14">
          <a:extLst>
            <a:ext uri="{FF2B5EF4-FFF2-40B4-BE49-F238E27FC236}">
              <a16:creationId xmlns:a16="http://schemas.microsoft.com/office/drawing/2014/main" id="{7F211FD7-0191-400E-8922-DDDD381C6CF7}"/>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8" name="Shape 10">
          <a:extLst>
            <a:ext uri="{FF2B5EF4-FFF2-40B4-BE49-F238E27FC236}">
              <a16:creationId xmlns:a16="http://schemas.microsoft.com/office/drawing/2014/main" id="{6BB1A3A0-C78A-4C3E-AC90-D36771BBE915}"/>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9" name="Shape 12">
          <a:extLst>
            <a:ext uri="{FF2B5EF4-FFF2-40B4-BE49-F238E27FC236}">
              <a16:creationId xmlns:a16="http://schemas.microsoft.com/office/drawing/2014/main" id="{90C6C091-AD3F-4CE3-9CA5-51AF7E5E25F6}"/>
            </a:ext>
          </a:extLst>
        </xdr:cNvPr>
        <xdr:cNvSpPr txBox="1"/>
      </xdr:nvSpPr>
      <xdr:spPr>
        <a:xfrm>
          <a:off x="0" y="179736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0" name="Shape 11">
          <a:extLst>
            <a:ext uri="{FF2B5EF4-FFF2-40B4-BE49-F238E27FC236}">
              <a16:creationId xmlns:a16="http://schemas.microsoft.com/office/drawing/2014/main" id="{915732AA-8EA6-43AB-9C73-D1B0621C6EC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1" name="Shape 10">
          <a:extLst>
            <a:ext uri="{FF2B5EF4-FFF2-40B4-BE49-F238E27FC236}">
              <a16:creationId xmlns:a16="http://schemas.microsoft.com/office/drawing/2014/main" id="{3FB0B6CD-52A5-442A-88F8-42447DA49043}"/>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2" name="Shape 11">
          <a:extLst>
            <a:ext uri="{FF2B5EF4-FFF2-40B4-BE49-F238E27FC236}">
              <a16:creationId xmlns:a16="http://schemas.microsoft.com/office/drawing/2014/main" id="{A04ABB60-18B5-461A-B22E-1673F294A23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3" name="Shape 11">
          <a:extLst>
            <a:ext uri="{FF2B5EF4-FFF2-40B4-BE49-F238E27FC236}">
              <a16:creationId xmlns:a16="http://schemas.microsoft.com/office/drawing/2014/main" id="{437F8834-9195-42B5-B9BE-1210E7754880}"/>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4" name="Shape 11">
          <a:extLst>
            <a:ext uri="{FF2B5EF4-FFF2-40B4-BE49-F238E27FC236}">
              <a16:creationId xmlns:a16="http://schemas.microsoft.com/office/drawing/2014/main" id="{FD99BED8-5E47-49AE-B440-96A71EA941D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5" name="Shape 11">
          <a:extLst>
            <a:ext uri="{FF2B5EF4-FFF2-40B4-BE49-F238E27FC236}">
              <a16:creationId xmlns:a16="http://schemas.microsoft.com/office/drawing/2014/main" id="{BA110FD2-29DB-4E63-BEAE-3A7A5DC6C8E0}"/>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6" name="Shape 11">
          <a:extLst>
            <a:ext uri="{FF2B5EF4-FFF2-40B4-BE49-F238E27FC236}">
              <a16:creationId xmlns:a16="http://schemas.microsoft.com/office/drawing/2014/main" id="{984CA791-8332-4439-8E5D-EA8CD9B53B5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7" name="Shape 10">
          <a:extLst>
            <a:ext uri="{FF2B5EF4-FFF2-40B4-BE49-F238E27FC236}">
              <a16:creationId xmlns:a16="http://schemas.microsoft.com/office/drawing/2014/main" id="{87443316-3059-469A-9B1B-1B17B7FF69E2}"/>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8" name="Shape 11">
          <a:extLst>
            <a:ext uri="{FF2B5EF4-FFF2-40B4-BE49-F238E27FC236}">
              <a16:creationId xmlns:a16="http://schemas.microsoft.com/office/drawing/2014/main" id="{A01E40B7-C32C-4B6F-85D3-AE4886AD4B9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9" name="Shape 11">
          <a:extLst>
            <a:ext uri="{FF2B5EF4-FFF2-40B4-BE49-F238E27FC236}">
              <a16:creationId xmlns:a16="http://schemas.microsoft.com/office/drawing/2014/main" id="{147B993A-91F6-4321-8523-7D62CFF3BA9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0" name="Shape 11">
          <a:extLst>
            <a:ext uri="{FF2B5EF4-FFF2-40B4-BE49-F238E27FC236}">
              <a16:creationId xmlns:a16="http://schemas.microsoft.com/office/drawing/2014/main" id="{2534CB82-AF6F-4351-A6A0-D9BC33FE55E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1" name="Shape 11">
          <a:extLst>
            <a:ext uri="{FF2B5EF4-FFF2-40B4-BE49-F238E27FC236}">
              <a16:creationId xmlns:a16="http://schemas.microsoft.com/office/drawing/2014/main" id="{3AEB5321-31DC-438D-B8F5-B19425192D8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2" name="Shape 11">
          <a:extLst>
            <a:ext uri="{FF2B5EF4-FFF2-40B4-BE49-F238E27FC236}">
              <a16:creationId xmlns:a16="http://schemas.microsoft.com/office/drawing/2014/main" id="{48004DDD-A3B6-4405-960D-95ECBC89A650}"/>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3" name="Shape 10">
          <a:extLst>
            <a:ext uri="{FF2B5EF4-FFF2-40B4-BE49-F238E27FC236}">
              <a16:creationId xmlns:a16="http://schemas.microsoft.com/office/drawing/2014/main" id="{D74A0F29-2191-430F-8C91-4F07961C75DB}"/>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4" name="Shape 11">
          <a:extLst>
            <a:ext uri="{FF2B5EF4-FFF2-40B4-BE49-F238E27FC236}">
              <a16:creationId xmlns:a16="http://schemas.microsoft.com/office/drawing/2014/main" id="{D3B9DD01-1F3D-40A2-A5C6-76C91D24844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5" name="Shape 11">
          <a:extLst>
            <a:ext uri="{FF2B5EF4-FFF2-40B4-BE49-F238E27FC236}">
              <a16:creationId xmlns:a16="http://schemas.microsoft.com/office/drawing/2014/main" id="{F00140B4-4C14-42E1-AD08-D31F735677C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6" name="Shape 11">
          <a:extLst>
            <a:ext uri="{FF2B5EF4-FFF2-40B4-BE49-F238E27FC236}">
              <a16:creationId xmlns:a16="http://schemas.microsoft.com/office/drawing/2014/main" id="{197355DA-40BB-44C9-8717-BB5D6B5F37B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7" name="Shape 11">
          <a:extLst>
            <a:ext uri="{FF2B5EF4-FFF2-40B4-BE49-F238E27FC236}">
              <a16:creationId xmlns:a16="http://schemas.microsoft.com/office/drawing/2014/main" id="{210DFC71-E73E-4923-963B-402E6C5A9F9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8" name="Shape 11">
          <a:extLst>
            <a:ext uri="{FF2B5EF4-FFF2-40B4-BE49-F238E27FC236}">
              <a16:creationId xmlns:a16="http://schemas.microsoft.com/office/drawing/2014/main" id="{E4BF9DA1-8FE2-4C09-B3C6-30AAE5CC58E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9" name="Shape 10">
          <a:extLst>
            <a:ext uri="{FF2B5EF4-FFF2-40B4-BE49-F238E27FC236}">
              <a16:creationId xmlns:a16="http://schemas.microsoft.com/office/drawing/2014/main" id="{9E5EED2E-ADA2-486F-BD21-B3F056D9C15C}"/>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0" name="Shape 11">
          <a:extLst>
            <a:ext uri="{FF2B5EF4-FFF2-40B4-BE49-F238E27FC236}">
              <a16:creationId xmlns:a16="http://schemas.microsoft.com/office/drawing/2014/main" id="{AC3D61C9-814D-45EC-AD07-91727EDE0E2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1" name="Shape 11">
          <a:extLst>
            <a:ext uri="{FF2B5EF4-FFF2-40B4-BE49-F238E27FC236}">
              <a16:creationId xmlns:a16="http://schemas.microsoft.com/office/drawing/2014/main" id="{8C7B460E-3D7F-4C8E-9FEC-7A457A5FAAC0}"/>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2" name="Shape 11">
          <a:extLst>
            <a:ext uri="{FF2B5EF4-FFF2-40B4-BE49-F238E27FC236}">
              <a16:creationId xmlns:a16="http://schemas.microsoft.com/office/drawing/2014/main" id="{D86F2AD0-402A-48AB-B46E-84A6091C4BB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3" name="Shape 11">
          <a:extLst>
            <a:ext uri="{FF2B5EF4-FFF2-40B4-BE49-F238E27FC236}">
              <a16:creationId xmlns:a16="http://schemas.microsoft.com/office/drawing/2014/main" id="{8797F26E-27EB-4147-927E-8390DB467A8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4" name="Shape 11">
          <a:extLst>
            <a:ext uri="{FF2B5EF4-FFF2-40B4-BE49-F238E27FC236}">
              <a16:creationId xmlns:a16="http://schemas.microsoft.com/office/drawing/2014/main" id="{DEC4BF5F-F17A-4B3A-B36C-71E4C5FEBFE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85" name="Shape 10">
          <a:extLst>
            <a:ext uri="{FF2B5EF4-FFF2-40B4-BE49-F238E27FC236}">
              <a16:creationId xmlns:a16="http://schemas.microsoft.com/office/drawing/2014/main" id="{85583F90-0281-460A-AF27-5113B782B96F}"/>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6" name="Shape 11">
          <a:extLst>
            <a:ext uri="{FF2B5EF4-FFF2-40B4-BE49-F238E27FC236}">
              <a16:creationId xmlns:a16="http://schemas.microsoft.com/office/drawing/2014/main" id="{B5E618D8-A9BC-4720-A164-5AA4CEE79D9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7" name="Shape 11">
          <a:extLst>
            <a:ext uri="{FF2B5EF4-FFF2-40B4-BE49-F238E27FC236}">
              <a16:creationId xmlns:a16="http://schemas.microsoft.com/office/drawing/2014/main" id="{3CAD3244-9710-48EF-8BAE-2B01F18A7E9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8" name="Shape 11">
          <a:extLst>
            <a:ext uri="{FF2B5EF4-FFF2-40B4-BE49-F238E27FC236}">
              <a16:creationId xmlns:a16="http://schemas.microsoft.com/office/drawing/2014/main" id="{71D59607-653D-41B9-9755-57C65F7877E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9" name="Shape 11">
          <a:extLst>
            <a:ext uri="{FF2B5EF4-FFF2-40B4-BE49-F238E27FC236}">
              <a16:creationId xmlns:a16="http://schemas.microsoft.com/office/drawing/2014/main" id="{53C98134-82DE-49AD-B489-639E28E3E8A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0" name="Shape 11">
          <a:extLst>
            <a:ext uri="{FF2B5EF4-FFF2-40B4-BE49-F238E27FC236}">
              <a16:creationId xmlns:a16="http://schemas.microsoft.com/office/drawing/2014/main" id="{AE51471B-87AA-465E-91D3-9945116EF51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1" name="Shape 10">
          <a:extLst>
            <a:ext uri="{FF2B5EF4-FFF2-40B4-BE49-F238E27FC236}">
              <a16:creationId xmlns:a16="http://schemas.microsoft.com/office/drawing/2014/main" id="{A3693B7C-7736-40C4-B9BC-755B66D0CAE0}"/>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2" name="Shape 11">
          <a:extLst>
            <a:ext uri="{FF2B5EF4-FFF2-40B4-BE49-F238E27FC236}">
              <a16:creationId xmlns:a16="http://schemas.microsoft.com/office/drawing/2014/main" id="{FC94B454-5F95-4E49-89BA-0CBD0862426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3" name="Shape 11">
          <a:extLst>
            <a:ext uri="{FF2B5EF4-FFF2-40B4-BE49-F238E27FC236}">
              <a16:creationId xmlns:a16="http://schemas.microsoft.com/office/drawing/2014/main" id="{66A4A527-8637-43CE-B079-A2F5FAF86CC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4" name="Shape 11">
          <a:extLst>
            <a:ext uri="{FF2B5EF4-FFF2-40B4-BE49-F238E27FC236}">
              <a16:creationId xmlns:a16="http://schemas.microsoft.com/office/drawing/2014/main" id="{846542EE-489A-4133-855F-B7C4EA56EB2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5" name="Shape 11">
          <a:extLst>
            <a:ext uri="{FF2B5EF4-FFF2-40B4-BE49-F238E27FC236}">
              <a16:creationId xmlns:a16="http://schemas.microsoft.com/office/drawing/2014/main" id="{C35ED06A-1E73-4693-99B9-FD37B6A0875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6" name="Shape 11">
          <a:extLst>
            <a:ext uri="{FF2B5EF4-FFF2-40B4-BE49-F238E27FC236}">
              <a16:creationId xmlns:a16="http://schemas.microsoft.com/office/drawing/2014/main" id="{1091F0E3-5BA2-4333-80F6-3BE996E0773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7" name="Shape 10">
          <a:extLst>
            <a:ext uri="{FF2B5EF4-FFF2-40B4-BE49-F238E27FC236}">
              <a16:creationId xmlns:a16="http://schemas.microsoft.com/office/drawing/2014/main" id="{250DA389-F6EC-49F1-8686-E5E214BA47F5}"/>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8" name="Shape 11">
          <a:extLst>
            <a:ext uri="{FF2B5EF4-FFF2-40B4-BE49-F238E27FC236}">
              <a16:creationId xmlns:a16="http://schemas.microsoft.com/office/drawing/2014/main" id="{017FD7DB-6730-47E6-8B9C-9DC6023861B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9" name="Shape 13">
          <a:extLst>
            <a:ext uri="{FF2B5EF4-FFF2-40B4-BE49-F238E27FC236}">
              <a16:creationId xmlns:a16="http://schemas.microsoft.com/office/drawing/2014/main" id="{D2BD6874-72F9-4A60-8468-224876E85DFE}"/>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0" name="Shape 14">
          <a:extLst>
            <a:ext uri="{FF2B5EF4-FFF2-40B4-BE49-F238E27FC236}">
              <a16:creationId xmlns:a16="http://schemas.microsoft.com/office/drawing/2014/main" id="{BC931AFC-385D-435E-8FF0-56528085BC35}"/>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1" name="Shape 10">
          <a:extLst>
            <a:ext uri="{FF2B5EF4-FFF2-40B4-BE49-F238E27FC236}">
              <a16:creationId xmlns:a16="http://schemas.microsoft.com/office/drawing/2014/main" id="{1877AFDB-2CB8-4279-9E53-A57117465EC9}"/>
            </a:ext>
          </a:extLst>
        </xdr:cNvPr>
        <xdr:cNvSpPr txBox="1"/>
      </xdr:nvSpPr>
      <xdr:spPr>
        <a:xfrm>
          <a:off x="4124325" y="270414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2" name="Shape 14">
          <a:extLst>
            <a:ext uri="{FF2B5EF4-FFF2-40B4-BE49-F238E27FC236}">
              <a16:creationId xmlns:a16="http://schemas.microsoft.com/office/drawing/2014/main" id="{9F2D04C6-44DF-47EB-97EE-8F9921203143}"/>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3" name="Shape 11">
          <a:extLst>
            <a:ext uri="{FF2B5EF4-FFF2-40B4-BE49-F238E27FC236}">
              <a16:creationId xmlns:a16="http://schemas.microsoft.com/office/drawing/2014/main" id="{5599ED5D-A855-4236-A2A5-8E739616CA2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4" name="Shape 10">
          <a:extLst>
            <a:ext uri="{FF2B5EF4-FFF2-40B4-BE49-F238E27FC236}">
              <a16:creationId xmlns:a16="http://schemas.microsoft.com/office/drawing/2014/main" id="{35920DF3-43DA-4A26-A9C1-6499458E578F}"/>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5" name="Shape 11">
          <a:extLst>
            <a:ext uri="{FF2B5EF4-FFF2-40B4-BE49-F238E27FC236}">
              <a16:creationId xmlns:a16="http://schemas.microsoft.com/office/drawing/2014/main" id="{BB51C988-3FF2-4E3E-91B4-B250B1C0C1C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6" name="Shape 11">
          <a:extLst>
            <a:ext uri="{FF2B5EF4-FFF2-40B4-BE49-F238E27FC236}">
              <a16:creationId xmlns:a16="http://schemas.microsoft.com/office/drawing/2014/main" id="{5EDEDCC2-4628-416B-BA6B-E630C2DB109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7" name="Shape 11">
          <a:extLst>
            <a:ext uri="{FF2B5EF4-FFF2-40B4-BE49-F238E27FC236}">
              <a16:creationId xmlns:a16="http://schemas.microsoft.com/office/drawing/2014/main" id="{575DF2D6-D2A4-4568-8D8D-6C212DDECD2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8" name="Shape 11">
          <a:extLst>
            <a:ext uri="{FF2B5EF4-FFF2-40B4-BE49-F238E27FC236}">
              <a16:creationId xmlns:a16="http://schemas.microsoft.com/office/drawing/2014/main" id="{F802E193-0786-446E-A375-06C18350754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9" name="Shape 11">
          <a:extLst>
            <a:ext uri="{FF2B5EF4-FFF2-40B4-BE49-F238E27FC236}">
              <a16:creationId xmlns:a16="http://schemas.microsoft.com/office/drawing/2014/main" id="{83811BF0-06BB-4940-95CD-C6F1F4D8DAD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0" name="Shape 10">
          <a:extLst>
            <a:ext uri="{FF2B5EF4-FFF2-40B4-BE49-F238E27FC236}">
              <a16:creationId xmlns:a16="http://schemas.microsoft.com/office/drawing/2014/main" id="{5304B57C-3C84-430C-B26B-2D1E69DC6A9B}"/>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1" name="Shape 11">
          <a:extLst>
            <a:ext uri="{FF2B5EF4-FFF2-40B4-BE49-F238E27FC236}">
              <a16:creationId xmlns:a16="http://schemas.microsoft.com/office/drawing/2014/main" id="{2A1776CE-CFF5-4427-B3AD-FEA130E3DE8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2" name="Shape 11">
          <a:extLst>
            <a:ext uri="{FF2B5EF4-FFF2-40B4-BE49-F238E27FC236}">
              <a16:creationId xmlns:a16="http://schemas.microsoft.com/office/drawing/2014/main" id="{0BEB9754-F9C4-4FFD-A26F-A6A7E4DEC23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3" name="Shape 11">
          <a:extLst>
            <a:ext uri="{FF2B5EF4-FFF2-40B4-BE49-F238E27FC236}">
              <a16:creationId xmlns:a16="http://schemas.microsoft.com/office/drawing/2014/main" id="{01576E71-110A-45B4-9544-59EC17B7B44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4" name="Shape 11">
          <a:extLst>
            <a:ext uri="{FF2B5EF4-FFF2-40B4-BE49-F238E27FC236}">
              <a16:creationId xmlns:a16="http://schemas.microsoft.com/office/drawing/2014/main" id="{2065B62C-944D-4FD4-92D8-C56443EE0B4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5" name="Shape 11">
          <a:extLst>
            <a:ext uri="{FF2B5EF4-FFF2-40B4-BE49-F238E27FC236}">
              <a16:creationId xmlns:a16="http://schemas.microsoft.com/office/drawing/2014/main" id="{9BE41715-5050-4417-8724-8189FCEC435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6" name="Shape 10">
          <a:extLst>
            <a:ext uri="{FF2B5EF4-FFF2-40B4-BE49-F238E27FC236}">
              <a16:creationId xmlns:a16="http://schemas.microsoft.com/office/drawing/2014/main" id="{A3BFB116-9514-4F45-9A68-14C475C4FF25}"/>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7" name="Shape 11">
          <a:extLst>
            <a:ext uri="{FF2B5EF4-FFF2-40B4-BE49-F238E27FC236}">
              <a16:creationId xmlns:a16="http://schemas.microsoft.com/office/drawing/2014/main" id="{8B69388B-2270-405E-8634-CE9C88F8380C}"/>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8" name="Shape 11">
          <a:extLst>
            <a:ext uri="{FF2B5EF4-FFF2-40B4-BE49-F238E27FC236}">
              <a16:creationId xmlns:a16="http://schemas.microsoft.com/office/drawing/2014/main" id="{A0758A37-0444-4415-9941-00F9E58D3C1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9" name="Shape 11">
          <a:extLst>
            <a:ext uri="{FF2B5EF4-FFF2-40B4-BE49-F238E27FC236}">
              <a16:creationId xmlns:a16="http://schemas.microsoft.com/office/drawing/2014/main" id="{415FA110-2B16-41FE-B34B-71813F214EF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0" name="Shape 11">
          <a:extLst>
            <a:ext uri="{FF2B5EF4-FFF2-40B4-BE49-F238E27FC236}">
              <a16:creationId xmlns:a16="http://schemas.microsoft.com/office/drawing/2014/main" id="{BF7102B3-A9B9-48BB-82B1-6FE27BC696A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1" name="Shape 11">
          <a:extLst>
            <a:ext uri="{FF2B5EF4-FFF2-40B4-BE49-F238E27FC236}">
              <a16:creationId xmlns:a16="http://schemas.microsoft.com/office/drawing/2014/main" id="{64784412-68B8-4D3B-B542-26B8189599D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2" name="Shape 10">
          <a:extLst>
            <a:ext uri="{FF2B5EF4-FFF2-40B4-BE49-F238E27FC236}">
              <a16:creationId xmlns:a16="http://schemas.microsoft.com/office/drawing/2014/main" id="{30ADB82F-5689-4DCE-BD0B-E12E458E1581}"/>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3" name="Shape 11">
          <a:extLst>
            <a:ext uri="{FF2B5EF4-FFF2-40B4-BE49-F238E27FC236}">
              <a16:creationId xmlns:a16="http://schemas.microsoft.com/office/drawing/2014/main" id="{3D7A95B0-5774-457C-8026-A3112EF9B63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4" name="Shape 11">
          <a:extLst>
            <a:ext uri="{FF2B5EF4-FFF2-40B4-BE49-F238E27FC236}">
              <a16:creationId xmlns:a16="http://schemas.microsoft.com/office/drawing/2014/main" id="{7A48C431-649F-4B0E-89F3-43FA36358DC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5" name="Shape 11">
          <a:extLst>
            <a:ext uri="{FF2B5EF4-FFF2-40B4-BE49-F238E27FC236}">
              <a16:creationId xmlns:a16="http://schemas.microsoft.com/office/drawing/2014/main" id="{81DA303E-33EC-4C56-B59C-125B1003699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6" name="Shape 11">
          <a:extLst>
            <a:ext uri="{FF2B5EF4-FFF2-40B4-BE49-F238E27FC236}">
              <a16:creationId xmlns:a16="http://schemas.microsoft.com/office/drawing/2014/main" id="{E2315A99-F874-4AAD-989A-4CFB8A0CA85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7" name="Shape 11">
          <a:extLst>
            <a:ext uri="{FF2B5EF4-FFF2-40B4-BE49-F238E27FC236}">
              <a16:creationId xmlns:a16="http://schemas.microsoft.com/office/drawing/2014/main" id="{EF4604DE-F0CF-4120-AC56-F26E016DE5C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8" name="Shape 10">
          <a:extLst>
            <a:ext uri="{FF2B5EF4-FFF2-40B4-BE49-F238E27FC236}">
              <a16:creationId xmlns:a16="http://schemas.microsoft.com/office/drawing/2014/main" id="{B8158520-9138-4218-B29C-999515645E38}"/>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9" name="Shape 11">
          <a:extLst>
            <a:ext uri="{FF2B5EF4-FFF2-40B4-BE49-F238E27FC236}">
              <a16:creationId xmlns:a16="http://schemas.microsoft.com/office/drawing/2014/main" id="{05997F86-B8EB-4D26-AE6F-56ECE953F92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0" name="Shape 11">
          <a:extLst>
            <a:ext uri="{FF2B5EF4-FFF2-40B4-BE49-F238E27FC236}">
              <a16:creationId xmlns:a16="http://schemas.microsoft.com/office/drawing/2014/main" id="{1775843E-CBC5-41E0-8D08-1E661B67725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1" name="Shape 11">
          <a:extLst>
            <a:ext uri="{FF2B5EF4-FFF2-40B4-BE49-F238E27FC236}">
              <a16:creationId xmlns:a16="http://schemas.microsoft.com/office/drawing/2014/main" id="{31D7D75C-FF68-4F0D-9695-B0CAF5BB741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2" name="Shape 11">
          <a:extLst>
            <a:ext uri="{FF2B5EF4-FFF2-40B4-BE49-F238E27FC236}">
              <a16:creationId xmlns:a16="http://schemas.microsoft.com/office/drawing/2014/main" id="{3D8FD5D4-A418-484D-917E-8465AE519E7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3" name="Shape 11">
          <a:extLst>
            <a:ext uri="{FF2B5EF4-FFF2-40B4-BE49-F238E27FC236}">
              <a16:creationId xmlns:a16="http://schemas.microsoft.com/office/drawing/2014/main" id="{704DB8AB-20B0-44E7-85C8-52A8120F6BF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34" name="Shape 10">
          <a:extLst>
            <a:ext uri="{FF2B5EF4-FFF2-40B4-BE49-F238E27FC236}">
              <a16:creationId xmlns:a16="http://schemas.microsoft.com/office/drawing/2014/main" id="{0659EFC5-877A-45A2-A125-4A8498F6A7D9}"/>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5" name="Shape 11">
          <a:extLst>
            <a:ext uri="{FF2B5EF4-FFF2-40B4-BE49-F238E27FC236}">
              <a16:creationId xmlns:a16="http://schemas.microsoft.com/office/drawing/2014/main" id="{18200B2C-BA1D-4408-B38C-1499F5AB108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6" name="Shape 11">
          <a:extLst>
            <a:ext uri="{FF2B5EF4-FFF2-40B4-BE49-F238E27FC236}">
              <a16:creationId xmlns:a16="http://schemas.microsoft.com/office/drawing/2014/main" id="{BCE84D3B-0774-41DC-89A5-D0E86CDEBDD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7" name="Shape 11">
          <a:extLst>
            <a:ext uri="{FF2B5EF4-FFF2-40B4-BE49-F238E27FC236}">
              <a16:creationId xmlns:a16="http://schemas.microsoft.com/office/drawing/2014/main" id="{5191CCE3-0776-496D-BBAB-D6B1BAAB0E5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8" name="Shape 11">
          <a:extLst>
            <a:ext uri="{FF2B5EF4-FFF2-40B4-BE49-F238E27FC236}">
              <a16:creationId xmlns:a16="http://schemas.microsoft.com/office/drawing/2014/main" id="{BC20EA88-F573-42F9-AB6B-E745C6C86F0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9" name="Shape 11">
          <a:extLst>
            <a:ext uri="{FF2B5EF4-FFF2-40B4-BE49-F238E27FC236}">
              <a16:creationId xmlns:a16="http://schemas.microsoft.com/office/drawing/2014/main" id="{10FBD188-69B5-468A-BEE5-34407FF52B3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0" name="Shape 10">
          <a:extLst>
            <a:ext uri="{FF2B5EF4-FFF2-40B4-BE49-F238E27FC236}">
              <a16:creationId xmlns:a16="http://schemas.microsoft.com/office/drawing/2014/main" id="{9BCBD6F0-4696-4077-A58B-760D21D4DC6E}"/>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1" name="Shape 11">
          <a:extLst>
            <a:ext uri="{FF2B5EF4-FFF2-40B4-BE49-F238E27FC236}">
              <a16:creationId xmlns:a16="http://schemas.microsoft.com/office/drawing/2014/main" id="{0FBACCE8-1D03-42D1-A6F2-E28A4066597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2" name="Shape 13">
          <a:extLst>
            <a:ext uri="{FF2B5EF4-FFF2-40B4-BE49-F238E27FC236}">
              <a16:creationId xmlns:a16="http://schemas.microsoft.com/office/drawing/2014/main" id="{D7E7A32E-1C93-4C50-9F5C-ECE53FCD9F00}"/>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3" name="Shape 14">
          <a:extLst>
            <a:ext uri="{FF2B5EF4-FFF2-40B4-BE49-F238E27FC236}">
              <a16:creationId xmlns:a16="http://schemas.microsoft.com/office/drawing/2014/main" id="{AAC414AA-C647-4309-A7AD-1C4798B42D72}"/>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4" name="Shape 10">
          <a:extLst>
            <a:ext uri="{FF2B5EF4-FFF2-40B4-BE49-F238E27FC236}">
              <a16:creationId xmlns:a16="http://schemas.microsoft.com/office/drawing/2014/main" id="{1FD7F158-1D1F-40CB-9B97-70BBE074EE41}"/>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5" name="Shape 12">
          <a:extLst>
            <a:ext uri="{FF2B5EF4-FFF2-40B4-BE49-F238E27FC236}">
              <a16:creationId xmlns:a16="http://schemas.microsoft.com/office/drawing/2014/main" id="{1EE19836-E71C-4F32-A690-6D4527B11F21}"/>
            </a:ext>
          </a:extLst>
        </xdr:cNvPr>
        <xdr:cNvSpPr txBox="1"/>
      </xdr:nvSpPr>
      <xdr:spPr>
        <a:xfrm>
          <a:off x="0" y="268795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6" name="Shape 11">
          <a:extLst>
            <a:ext uri="{FF2B5EF4-FFF2-40B4-BE49-F238E27FC236}">
              <a16:creationId xmlns:a16="http://schemas.microsoft.com/office/drawing/2014/main" id="{8CDAF3DD-4C66-4B52-A614-4BF894D0B5F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7" name="Shape 10">
          <a:extLst>
            <a:ext uri="{FF2B5EF4-FFF2-40B4-BE49-F238E27FC236}">
              <a16:creationId xmlns:a16="http://schemas.microsoft.com/office/drawing/2014/main" id="{FEE1F926-81C4-426D-B73F-C12C3F39BA04}"/>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8" name="Shape 11">
          <a:extLst>
            <a:ext uri="{FF2B5EF4-FFF2-40B4-BE49-F238E27FC236}">
              <a16:creationId xmlns:a16="http://schemas.microsoft.com/office/drawing/2014/main" id="{1574C530-C766-41B9-86C1-8166BF47A3D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9" name="Shape 11">
          <a:extLst>
            <a:ext uri="{FF2B5EF4-FFF2-40B4-BE49-F238E27FC236}">
              <a16:creationId xmlns:a16="http://schemas.microsoft.com/office/drawing/2014/main" id="{D2D4A366-A0DC-45BB-BF9E-404DA94AB15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0" name="Shape 11">
          <a:extLst>
            <a:ext uri="{FF2B5EF4-FFF2-40B4-BE49-F238E27FC236}">
              <a16:creationId xmlns:a16="http://schemas.microsoft.com/office/drawing/2014/main" id="{A2746763-6A84-449E-95AB-C9E73D4D7CA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1" name="Shape 11">
          <a:extLst>
            <a:ext uri="{FF2B5EF4-FFF2-40B4-BE49-F238E27FC236}">
              <a16:creationId xmlns:a16="http://schemas.microsoft.com/office/drawing/2014/main" id="{774D1F6C-7F86-4ACC-96BB-5424AA005F1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2" name="Shape 11">
          <a:extLst>
            <a:ext uri="{FF2B5EF4-FFF2-40B4-BE49-F238E27FC236}">
              <a16:creationId xmlns:a16="http://schemas.microsoft.com/office/drawing/2014/main" id="{BDA6FA6C-DFFD-4EC5-A72A-B1C165D4A57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3" name="Shape 10">
          <a:extLst>
            <a:ext uri="{FF2B5EF4-FFF2-40B4-BE49-F238E27FC236}">
              <a16:creationId xmlns:a16="http://schemas.microsoft.com/office/drawing/2014/main" id="{BCE15321-6591-4CAC-940A-1982ECB20CEE}"/>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4" name="Shape 11">
          <a:extLst>
            <a:ext uri="{FF2B5EF4-FFF2-40B4-BE49-F238E27FC236}">
              <a16:creationId xmlns:a16="http://schemas.microsoft.com/office/drawing/2014/main" id="{29C718A4-5519-4924-B865-858232F652D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5" name="Shape 11">
          <a:extLst>
            <a:ext uri="{FF2B5EF4-FFF2-40B4-BE49-F238E27FC236}">
              <a16:creationId xmlns:a16="http://schemas.microsoft.com/office/drawing/2014/main" id="{7775E09D-76BD-46B1-9A9A-B3B2E9B8445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6" name="Shape 11">
          <a:extLst>
            <a:ext uri="{FF2B5EF4-FFF2-40B4-BE49-F238E27FC236}">
              <a16:creationId xmlns:a16="http://schemas.microsoft.com/office/drawing/2014/main" id="{4C275F66-31B8-484D-8949-74A4F403935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7" name="Shape 11">
          <a:extLst>
            <a:ext uri="{FF2B5EF4-FFF2-40B4-BE49-F238E27FC236}">
              <a16:creationId xmlns:a16="http://schemas.microsoft.com/office/drawing/2014/main" id="{6F4050B4-8E09-4DCC-BD18-36570AABCE7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8" name="Shape 11">
          <a:extLst>
            <a:ext uri="{FF2B5EF4-FFF2-40B4-BE49-F238E27FC236}">
              <a16:creationId xmlns:a16="http://schemas.microsoft.com/office/drawing/2014/main" id="{8246D05B-1084-43BB-81C4-7233EAE1994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9" name="Shape 10">
          <a:extLst>
            <a:ext uri="{FF2B5EF4-FFF2-40B4-BE49-F238E27FC236}">
              <a16:creationId xmlns:a16="http://schemas.microsoft.com/office/drawing/2014/main" id="{05DF9AA9-7FB2-476A-AFD0-C5D3FBD65ECC}"/>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0" name="Shape 11">
          <a:extLst>
            <a:ext uri="{FF2B5EF4-FFF2-40B4-BE49-F238E27FC236}">
              <a16:creationId xmlns:a16="http://schemas.microsoft.com/office/drawing/2014/main" id="{06B65DAE-B2D1-41F3-80DC-CD3FCB12F08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1" name="Shape 11">
          <a:extLst>
            <a:ext uri="{FF2B5EF4-FFF2-40B4-BE49-F238E27FC236}">
              <a16:creationId xmlns:a16="http://schemas.microsoft.com/office/drawing/2014/main" id="{8DF519CC-B08B-49EF-8C62-2E9ED9CDD5D6}"/>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2" name="Shape 11">
          <a:extLst>
            <a:ext uri="{FF2B5EF4-FFF2-40B4-BE49-F238E27FC236}">
              <a16:creationId xmlns:a16="http://schemas.microsoft.com/office/drawing/2014/main" id="{5AF055A6-904F-47FA-882E-24D1E28AED9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3" name="Shape 11">
          <a:extLst>
            <a:ext uri="{FF2B5EF4-FFF2-40B4-BE49-F238E27FC236}">
              <a16:creationId xmlns:a16="http://schemas.microsoft.com/office/drawing/2014/main" id="{C5D8A287-A995-4499-90E5-52C910F8FE5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4" name="Shape 11">
          <a:extLst>
            <a:ext uri="{FF2B5EF4-FFF2-40B4-BE49-F238E27FC236}">
              <a16:creationId xmlns:a16="http://schemas.microsoft.com/office/drawing/2014/main" id="{63259AA4-6879-4BD8-B829-682A9B8B0CF1}"/>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65" name="Shape 10">
          <a:extLst>
            <a:ext uri="{FF2B5EF4-FFF2-40B4-BE49-F238E27FC236}">
              <a16:creationId xmlns:a16="http://schemas.microsoft.com/office/drawing/2014/main" id="{B48D2626-183D-4E95-9F10-D83D8E9EFF78}"/>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6" name="Shape 11">
          <a:extLst>
            <a:ext uri="{FF2B5EF4-FFF2-40B4-BE49-F238E27FC236}">
              <a16:creationId xmlns:a16="http://schemas.microsoft.com/office/drawing/2014/main" id="{5602DE90-0B88-4B58-BF5F-1BC6A711DB9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7" name="Shape 11">
          <a:extLst>
            <a:ext uri="{FF2B5EF4-FFF2-40B4-BE49-F238E27FC236}">
              <a16:creationId xmlns:a16="http://schemas.microsoft.com/office/drawing/2014/main" id="{BC38923C-05F6-4AD2-9A18-852BB3F5CB1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8" name="Shape 11">
          <a:extLst>
            <a:ext uri="{FF2B5EF4-FFF2-40B4-BE49-F238E27FC236}">
              <a16:creationId xmlns:a16="http://schemas.microsoft.com/office/drawing/2014/main" id="{6A9E6A9A-AAD7-4A66-ADEC-F659C8E6B7E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9" name="Shape 11">
          <a:extLst>
            <a:ext uri="{FF2B5EF4-FFF2-40B4-BE49-F238E27FC236}">
              <a16:creationId xmlns:a16="http://schemas.microsoft.com/office/drawing/2014/main" id="{93A90DCC-9F7F-47FB-8465-7926BD97098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0" name="Shape 11">
          <a:extLst>
            <a:ext uri="{FF2B5EF4-FFF2-40B4-BE49-F238E27FC236}">
              <a16:creationId xmlns:a16="http://schemas.microsoft.com/office/drawing/2014/main" id="{453C94A3-C238-4519-89F5-7C843C18CD4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1" name="Shape 10">
          <a:extLst>
            <a:ext uri="{FF2B5EF4-FFF2-40B4-BE49-F238E27FC236}">
              <a16:creationId xmlns:a16="http://schemas.microsoft.com/office/drawing/2014/main" id="{9E9FBC52-ABFB-4C31-9CB8-53C4487DC6F0}"/>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2" name="Shape 11">
          <a:extLst>
            <a:ext uri="{FF2B5EF4-FFF2-40B4-BE49-F238E27FC236}">
              <a16:creationId xmlns:a16="http://schemas.microsoft.com/office/drawing/2014/main" id="{9AA13FD2-0C43-4D68-A307-E786CA93373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3" name="Shape 11">
          <a:extLst>
            <a:ext uri="{FF2B5EF4-FFF2-40B4-BE49-F238E27FC236}">
              <a16:creationId xmlns:a16="http://schemas.microsoft.com/office/drawing/2014/main" id="{C1566898-8B8B-41D6-B43D-B8D9F79A487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4" name="Shape 11">
          <a:extLst>
            <a:ext uri="{FF2B5EF4-FFF2-40B4-BE49-F238E27FC236}">
              <a16:creationId xmlns:a16="http://schemas.microsoft.com/office/drawing/2014/main" id="{95B3C803-9CA4-45DE-9070-11EBE25ED48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5" name="Shape 11">
          <a:extLst>
            <a:ext uri="{FF2B5EF4-FFF2-40B4-BE49-F238E27FC236}">
              <a16:creationId xmlns:a16="http://schemas.microsoft.com/office/drawing/2014/main" id="{2805A59D-9CF3-4B10-907F-882A0F1D668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6" name="Shape 11">
          <a:extLst>
            <a:ext uri="{FF2B5EF4-FFF2-40B4-BE49-F238E27FC236}">
              <a16:creationId xmlns:a16="http://schemas.microsoft.com/office/drawing/2014/main" id="{3693487A-572A-44EF-B45B-FE881452BFA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7" name="Shape 10">
          <a:extLst>
            <a:ext uri="{FF2B5EF4-FFF2-40B4-BE49-F238E27FC236}">
              <a16:creationId xmlns:a16="http://schemas.microsoft.com/office/drawing/2014/main" id="{A9AC43D2-76DB-4FC2-B39A-7644EB503040}"/>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8" name="Shape 11">
          <a:extLst>
            <a:ext uri="{FF2B5EF4-FFF2-40B4-BE49-F238E27FC236}">
              <a16:creationId xmlns:a16="http://schemas.microsoft.com/office/drawing/2014/main" id="{0F8492C5-B7BF-4123-B2F1-D3A91A4FE07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9" name="Shape 11">
          <a:extLst>
            <a:ext uri="{FF2B5EF4-FFF2-40B4-BE49-F238E27FC236}">
              <a16:creationId xmlns:a16="http://schemas.microsoft.com/office/drawing/2014/main" id="{EFF57F82-BA8C-47DC-8D72-A8343D830BB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0" name="Shape 11">
          <a:extLst>
            <a:ext uri="{FF2B5EF4-FFF2-40B4-BE49-F238E27FC236}">
              <a16:creationId xmlns:a16="http://schemas.microsoft.com/office/drawing/2014/main" id="{51291F04-BC1A-4701-ADE0-CC541544420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1" name="Shape 11">
          <a:extLst>
            <a:ext uri="{FF2B5EF4-FFF2-40B4-BE49-F238E27FC236}">
              <a16:creationId xmlns:a16="http://schemas.microsoft.com/office/drawing/2014/main" id="{54ABEA9B-6AAC-4599-A534-29ED1ECA7E7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2" name="Shape 11">
          <a:extLst>
            <a:ext uri="{FF2B5EF4-FFF2-40B4-BE49-F238E27FC236}">
              <a16:creationId xmlns:a16="http://schemas.microsoft.com/office/drawing/2014/main" id="{52F07870-4145-4504-AE97-87DCF99B3C2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3" name="Shape 10">
          <a:extLst>
            <a:ext uri="{FF2B5EF4-FFF2-40B4-BE49-F238E27FC236}">
              <a16:creationId xmlns:a16="http://schemas.microsoft.com/office/drawing/2014/main" id="{2C707E42-B095-4CFC-B907-ADEBE3FE71F7}"/>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4" name="Shape 11">
          <a:extLst>
            <a:ext uri="{FF2B5EF4-FFF2-40B4-BE49-F238E27FC236}">
              <a16:creationId xmlns:a16="http://schemas.microsoft.com/office/drawing/2014/main" id="{428D6096-48E4-4BF4-AE21-7EBFD583651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5" name="Shape 13">
          <a:extLst>
            <a:ext uri="{FF2B5EF4-FFF2-40B4-BE49-F238E27FC236}">
              <a16:creationId xmlns:a16="http://schemas.microsoft.com/office/drawing/2014/main" id="{E98F754D-1BF6-4E04-9ABC-1DACA1CC1734}"/>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6" name="Shape 14">
          <a:extLst>
            <a:ext uri="{FF2B5EF4-FFF2-40B4-BE49-F238E27FC236}">
              <a16:creationId xmlns:a16="http://schemas.microsoft.com/office/drawing/2014/main" id="{FDD75516-6D1C-42D1-B485-5E09D5BF3578}"/>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7" name="Shape 10">
          <a:extLst>
            <a:ext uri="{FF2B5EF4-FFF2-40B4-BE49-F238E27FC236}">
              <a16:creationId xmlns:a16="http://schemas.microsoft.com/office/drawing/2014/main" id="{D601E64A-2B0E-4E7B-B31D-8C1A9EC458E6}"/>
            </a:ext>
          </a:extLst>
        </xdr:cNvPr>
        <xdr:cNvSpPr txBox="1"/>
      </xdr:nvSpPr>
      <xdr:spPr>
        <a:xfrm>
          <a:off x="4124325" y="359473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8" name="Shape 14">
          <a:extLst>
            <a:ext uri="{FF2B5EF4-FFF2-40B4-BE49-F238E27FC236}">
              <a16:creationId xmlns:a16="http://schemas.microsoft.com/office/drawing/2014/main" id="{0270BE1F-A571-46FC-9DDB-99227C218449}"/>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9" name="Shape 11">
          <a:extLst>
            <a:ext uri="{FF2B5EF4-FFF2-40B4-BE49-F238E27FC236}">
              <a16:creationId xmlns:a16="http://schemas.microsoft.com/office/drawing/2014/main" id="{C25DE5DB-6BAF-419D-956C-F4724BC4A11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0" name="Shape 10">
          <a:extLst>
            <a:ext uri="{FF2B5EF4-FFF2-40B4-BE49-F238E27FC236}">
              <a16:creationId xmlns:a16="http://schemas.microsoft.com/office/drawing/2014/main" id="{CFFE2109-419F-44ED-ABA2-89AFB2A6055E}"/>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1" name="Shape 11">
          <a:extLst>
            <a:ext uri="{FF2B5EF4-FFF2-40B4-BE49-F238E27FC236}">
              <a16:creationId xmlns:a16="http://schemas.microsoft.com/office/drawing/2014/main" id="{C43BA60D-5937-4620-B97C-A3149DAB585B}"/>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2" name="Shape 11">
          <a:extLst>
            <a:ext uri="{FF2B5EF4-FFF2-40B4-BE49-F238E27FC236}">
              <a16:creationId xmlns:a16="http://schemas.microsoft.com/office/drawing/2014/main" id="{CDD57801-A0E3-4BC9-8BCB-D239F91CB9C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3" name="Shape 11">
          <a:extLst>
            <a:ext uri="{FF2B5EF4-FFF2-40B4-BE49-F238E27FC236}">
              <a16:creationId xmlns:a16="http://schemas.microsoft.com/office/drawing/2014/main" id="{B0797957-6DF4-4F71-BA03-A126F3397F5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4" name="Shape 11">
          <a:extLst>
            <a:ext uri="{FF2B5EF4-FFF2-40B4-BE49-F238E27FC236}">
              <a16:creationId xmlns:a16="http://schemas.microsoft.com/office/drawing/2014/main" id="{09169F31-1417-467D-85FA-523836C6D61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5" name="Shape 11">
          <a:extLst>
            <a:ext uri="{FF2B5EF4-FFF2-40B4-BE49-F238E27FC236}">
              <a16:creationId xmlns:a16="http://schemas.microsoft.com/office/drawing/2014/main" id="{DDEEDB17-FD21-4BE3-B1AC-0107508ACFE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6" name="Shape 10">
          <a:extLst>
            <a:ext uri="{FF2B5EF4-FFF2-40B4-BE49-F238E27FC236}">
              <a16:creationId xmlns:a16="http://schemas.microsoft.com/office/drawing/2014/main" id="{E2881429-5FEE-40DC-86E5-7DACA11D7F1D}"/>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7" name="Shape 11">
          <a:extLst>
            <a:ext uri="{FF2B5EF4-FFF2-40B4-BE49-F238E27FC236}">
              <a16:creationId xmlns:a16="http://schemas.microsoft.com/office/drawing/2014/main" id="{38201354-A0B8-48AC-8C0A-CE931975045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8" name="Shape 11">
          <a:extLst>
            <a:ext uri="{FF2B5EF4-FFF2-40B4-BE49-F238E27FC236}">
              <a16:creationId xmlns:a16="http://schemas.microsoft.com/office/drawing/2014/main" id="{1F63B2A8-435E-4D38-9701-CDDC65F1123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9" name="Shape 11">
          <a:extLst>
            <a:ext uri="{FF2B5EF4-FFF2-40B4-BE49-F238E27FC236}">
              <a16:creationId xmlns:a16="http://schemas.microsoft.com/office/drawing/2014/main" id="{1B7BE94A-C1C3-44EA-9128-B9D90048E94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0" name="Shape 11">
          <a:extLst>
            <a:ext uri="{FF2B5EF4-FFF2-40B4-BE49-F238E27FC236}">
              <a16:creationId xmlns:a16="http://schemas.microsoft.com/office/drawing/2014/main" id="{116D020B-3810-4ADB-A1CF-6423BC886F6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1" name="Shape 11">
          <a:extLst>
            <a:ext uri="{FF2B5EF4-FFF2-40B4-BE49-F238E27FC236}">
              <a16:creationId xmlns:a16="http://schemas.microsoft.com/office/drawing/2014/main" id="{6A30AB45-C465-42FC-BC92-065F34BF3E0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2" name="Shape 10">
          <a:extLst>
            <a:ext uri="{FF2B5EF4-FFF2-40B4-BE49-F238E27FC236}">
              <a16:creationId xmlns:a16="http://schemas.microsoft.com/office/drawing/2014/main" id="{A378FA2F-7BEB-4290-B441-6E5C654DCD16}"/>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3" name="Shape 11">
          <a:extLst>
            <a:ext uri="{FF2B5EF4-FFF2-40B4-BE49-F238E27FC236}">
              <a16:creationId xmlns:a16="http://schemas.microsoft.com/office/drawing/2014/main" id="{BF0069EB-C937-432C-B963-F46FCCCA765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4" name="Shape 11">
          <a:extLst>
            <a:ext uri="{FF2B5EF4-FFF2-40B4-BE49-F238E27FC236}">
              <a16:creationId xmlns:a16="http://schemas.microsoft.com/office/drawing/2014/main" id="{B69DF6FB-984F-4CE6-BE20-B361D168642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5" name="Shape 11">
          <a:extLst>
            <a:ext uri="{FF2B5EF4-FFF2-40B4-BE49-F238E27FC236}">
              <a16:creationId xmlns:a16="http://schemas.microsoft.com/office/drawing/2014/main" id="{E9AD48D9-70EF-4B8F-9B90-1A1434DC264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6" name="Shape 11">
          <a:extLst>
            <a:ext uri="{FF2B5EF4-FFF2-40B4-BE49-F238E27FC236}">
              <a16:creationId xmlns:a16="http://schemas.microsoft.com/office/drawing/2014/main" id="{0D543B4B-D00F-4768-BA8D-BF546334862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7" name="Shape 11">
          <a:extLst>
            <a:ext uri="{FF2B5EF4-FFF2-40B4-BE49-F238E27FC236}">
              <a16:creationId xmlns:a16="http://schemas.microsoft.com/office/drawing/2014/main" id="{97CE050A-A9F9-45F9-A852-7777618C22D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8" name="Shape 10">
          <a:extLst>
            <a:ext uri="{FF2B5EF4-FFF2-40B4-BE49-F238E27FC236}">
              <a16:creationId xmlns:a16="http://schemas.microsoft.com/office/drawing/2014/main" id="{2D5609FA-2418-4BFF-8D65-D083AF1F5B7C}"/>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9" name="Shape 11">
          <a:extLst>
            <a:ext uri="{FF2B5EF4-FFF2-40B4-BE49-F238E27FC236}">
              <a16:creationId xmlns:a16="http://schemas.microsoft.com/office/drawing/2014/main" id="{83A97D2B-DF94-4D85-B9D1-EE7B2CB776A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0" name="Shape 11">
          <a:extLst>
            <a:ext uri="{FF2B5EF4-FFF2-40B4-BE49-F238E27FC236}">
              <a16:creationId xmlns:a16="http://schemas.microsoft.com/office/drawing/2014/main" id="{42E95657-D94A-44E1-A30F-5571C7D850F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1" name="Shape 11">
          <a:extLst>
            <a:ext uri="{FF2B5EF4-FFF2-40B4-BE49-F238E27FC236}">
              <a16:creationId xmlns:a16="http://schemas.microsoft.com/office/drawing/2014/main" id="{8DF70F17-6783-4DE8-814D-04ADEDF6B7F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2" name="Shape 11">
          <a:extLst>
            <a:ext uri="{FF2B5EF4-FFF2-40B4-BE49-F238E27FC236}">
              <a16:creationId xmlns:a16="http://schemas.microsoft.com/office/drawing/2014/main" id="{5E11EBD5-713E-4616-A60A-7702BF576DC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3" name="Shape 11">
          <a:extLst>
            <a:ext uri="{FF2B5EF4-FFF2-40B4-BE49-F238E27FC236}">
              <a16:creationId xmlns:a16="http://schemas.microsoft.com/office/drawing/2014/main" id="{93CEA906-8153-47FB-9250-35C47A1DFA3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14" name="Shape 10">
          <a:extLst>
            <a:ext uri="{FF2B5EF4-FFF2-40B4-BE49-F238E27FC236}">
              <a16:creationId xmlns:a16="http://schemas.microsoft.com/office/drawing/2014/main" id="{97E8B722-60BE-4702-AB65-D2771C9F3C02}"/>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5" name="Shape 11">
          <a:extLst>
            <a:ext uri="{FF2B5EF4-FFF2-40B4-BE49-F238E27FC236}">
              <a16:creationId xmlns:a16="http://schemas.microsoft.com/office/drawing/2014/main" id="{6E8607FD-FA84-49CF-BDA5-74CB5A8CE7F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6" name="Shape 11">
          <a:extLst>
            <a:ext uri="{FF2B5EF4-FFF2-40B4-BE49-F238E27FC236}">
              <a16:creationId xmlns:a16="http://schemas.microsoft.com/office/drawing/2014/main" id="{F747C9BC-6879-4686-A35B-68574AEBDAB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7" name="Shape 11">
          <a:extLst>
            <a:ext uri="{FF2B5EF4-FFF2-40B4-BE49-F238E27FC236}">
              <a16:creationId xmlns:a16="http://schemas.microsoft.com/office/drawing/2014/main" id="{BF9A80AB-432D-4B43-9BE0-521E541F7B4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8" name="Shape 11">
          <a:extLst>
            <a:ext uri="{FF2B5EF4-FFF2-40B4-BE49-F238E27FC236}">
              <a16:creationId xmlns:a16="http://schemas.microsoft.com/office/drawing/2014/main" id="{98986CF9-49B0-437E-B7CD-153556D2FC1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9" name="Shape 11">
          <a:extLst>
            <a:ext uri="{FF2B5EF4-FFF2-40B4-BE49-F238E27FC236}">
              <a16:creationId xmlns:a16="http://schemas.microsoft.com/office/drawing/2014/main" id="{06427F29-1941-4E41-BF3E-FEE88401023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0" name="Shape 10">
          <a:extLst>
            <a:ext uri="{FF2B5EF4-FFF2-40B4-BE49-F238E27FC236}">
              <a16:creationId xmlns:a16="http://schemas.microsoft.com/office/drawing/2014/main" id="{E9A0F185-0421-463A-81E3-291A25350ADC}"/>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1" name="Shape 11">
          <a:extLst>
            <a:ext uri="{FF2B5EF4-FFF2-40B4-BE49-F238E27FC236}">
              <a16:creationId xmlns:a16="http://schemas.microsoft.com/office/drawing/2014/main" id="{1BFF653E-2A14-418F-ACBC-9267E6ADE8F8}"/>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2" name="Shape 11">
          <a:extLst>
            <a:ext uri="{FF2B5EF4-FFF2-40B4-BE49-F238E27FC236}">
              <a16:creationId xmlns:a16="http://schemas.microsoft.com/office/drawing/2014/main" id="{CD9796EC-E0EF-4217-9554-D49D0B3D400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3" name="Shape 11">
          <a:extLst>
            <a:ext uri="{FF2B5EF4-FFF2-40B4-BE49-F238E27FC236}">
              <a16:creationId xmlns:a16="http://schemas.microsoft.com/office/drawing/2014/main" id="{23DFCFAE-A9A7-4CF2-97D0-6815C6CDA34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4" name="Shape 11">
          <a:extLst>
            <a:ext uri="{FF2B5EF4-FFF2-40B4-BE49-F238E27FC236}">
              <a16:creationId xmlns:a16="http://schemas.microsoft.com/office/drawing/2014/main" id="{69B515FE-7681-4A57-9A34-BB855A2777D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5" name="Shape 11">
          <a:extLst>
            <a:ext uri="{FF2B5EF4-FFF2-40B4-BE49-F238E27FC236}">
              <a16:creationId xmlns:a16="http://schemas.microsoft.com/office/drawing/2014/main" id="{96C25111-3192-463E-8E5F-60ACE0971AE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6" name="Shape 10">
          <a:extLst>
            <a:ext uri="{FF2B5EF4-FFF2-40B4-BE49-F238E27FC236}">
              <a16:creationId xmlns:a16="http://schemas.microsoft.com/office/drawing/2014/main" id="{F846E1D9-7B2F-4455-9CD5-54F41A075940}"/>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7" name="Shape 11">
          <a:extLst>
            <a:ext uri="{FF2B5EF4-FFF2-40B4-BE49-F238E27FC236}">
              <a16:creationId xmlns:a16="http://schemas.microsoft.com/office/drawing/2014/main" id="{5C69229F-5BB5-4039-A9BE-EF07073012B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8" name="Shape 13">
          <a:extLst>
            <a:ext uri="{FF2B5EF4-FFF2-40B4-BE49-F238E27FC236}">
              <a16:creationId xmlns:a16="http://schemas.microsoft.com/office/drawing/2014/main" id="{A4B93723-6194-42BF-91A6-FA80A643781E}"/>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29" name="Shape 14">
          <a:extLst>
            <a:ext uri="{FF2B5EF4-FFF2-40B4-BE49-F238E27FC236}">
              <a16:creationId xmlns:a16="http://schemas.microsoft.com/office/drawing/2014/main" id="{F1E17AB5-D078-4C17-A608-FF7EEA3C98C8}"/>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30" name="Shape 10">
          <a:extLst>
            <a:ext uri="{FF2B5EF4-FFF2-40B4-BE49-F238E27FC236}">
              <a16:creationId xmlns:a16="http://schemas.microsoft.com/office/drawing/2014/main" id="{5E0F9D92-CF0F-4C2E-BEAD-10B7047411C7}"/>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31" name="Shape 12">
          <a:extLst>
            <a:ext uri="{FF2B5EF4-FFF2-40B4-BE49-F238E27FC236}">
              <a16:creationId xmlns:a16="http://schemas.microsoft.com/office/drawing/2014/main" id="{DEE9E386-2070-423E-97E9-8D1562708FB6}"/>
            </a:ext>
          </a:extLst>
        </xdr:cNvPr>
        <xdr:cNvSpPr txBox="1"/>
      </xdr:nvSpPr>
      <xdr:spPr>
        <a:xfrm>
          <a:off x="0" y="357854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E315C802-C025-4FEB-8E16-EB06644F13E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 name="Shape 10">
          <a:extLst>
            <a:ext uri="{FF2B5EF4-FFF2-40B4-BE49-F238E27FC236}">
              <a16:creationId xmlns:a16="http://schemas.microsoft.com/office/drawing/2014/main" id="{182F01F1-321A-48C0-8BB8-32A4363B6FE9}"/>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5E50F56B-C119-4D99-AEE9-5E11036CDC9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F2A9DC5A-7342-4DCD-99E6-9E9098A9E57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D95845E0-7A38-46C4-A85A-39BF246A342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 name="Shape 11">
          <a:extLst>
            <a:ext uri="{FF2B5EF4-FFF2-40B4-BE49-F238E27FC236}">
              <a16:creationId xmlns:a16="http://schemas.microsoft.com/office/drawing/2014/main" id="{24ACD2EA-BF86-4693-88B0-1371C03F509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37725DBF-BBAB-4505-A1C9-30F94A29997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9" name="Shape 10">
          <a:extLst>
            <a:ext uri="{FF2B5EF4-FFF2-40B4-BE49-F238E27FC236}">
              <a16:creationId xmlns:a16="http://schemas.microsoft.com/office/drawing/2014/main" id="{6681BF7F-2AB5-4143-B02E-296F3988BC40}"/>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0" name="Shape 11">
          <a:extLst>
            <a:ext uri="{FF2B5EF4-FFF2-40B4-BE49-F238E27FC236}">
              <a16:creationId xmlns:a16="http://schemas.microsoft.com/office/drawing/2014/main" id="{162E4BA1-87AD-4683-8F18-63BD485BC58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6E05413A-72B7-4C32-9538-5353C4307E1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CC846A30-D025-4923-8B76-49E8129321D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783C6A3-C82E-4991-9616-70B60FD30A8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2301D8BD-0909-44BB-9417-297D870D44F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C20A30A6-5812-48D3-96D3-726772EA7956}"/>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79BAB74C-6E11-46D2-859F-C64234A45EA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DFA251B9-4F5A-440F-800B-95BB5CFEB1E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D76867BA-C25F-47F5-8371-F90E8F5DF67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24295785-EDAB-4D0D-BA19-945C7537888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D2733C19-1848-4C79-A48D-33E6CC34DF9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342CBA0C-BF6C-4E3F-BDC0-DC31EF806E8D}"/>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ED2249E1-5C09-41C0-812A-071B508E852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194EB2C2-CC7C-40CD-BB20-1BC59EEDDAA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C5BB43E2-361B-4D84-A22C-31D5AFB1C82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6B1836AF-0D9C-4B8D-9250-E23148849AA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D8B67CB0-A9B7-47CA-A2D1-9E4C58022E5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FE81B7B7-CB8A-493A-8601-66EFA67B0028}"/>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A7F0D0F9-5F5C-461C-A092-AF93760156B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2EFC64A3-56B7-43C8-BA4B-50DD31BD5B1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38FD0B4A-9268-4248-9809-325060CDFF3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D0D74CAA-2F1E-4443-90F3-A78D203A50D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5E2F9A12-1874-4AFB-BA23-228A5CDDDAF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916F5546-B9FB-41C3-80DB-972481ADF82C}"/>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546A3EB5-E819-443D-94A2-1CA731AC0BF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15055F87-8DEE-4F8B-90E7-0C602D8BAE5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2F8AEBC7-C13B-4CB4-925D-9809B992B23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18D6EA4D-6491-4CEA-AC98-61CAD59A2D6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2419983E-607B-4AD9-B077-0BCF41584E8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A69E3380-F975-49AE-9A31-1985EAA64FCB}"/>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7291BEA1-66DF-44D7-B93E-616317D509A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47758595-1179-437D-A06D-B9B8064F0D4F}"/>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A57DE3C-0B9F-42A9-AD9D-B29F8671B248}"/>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8FD35188-4B66-4242-85C1-CEB6CD520F33}"/>
            </a:ext>
          </a:extLst>
        </xdr:cNvPr>
        <xdr:cNvSpPr txBox="1"/>
      </xdr:nvSpPr>
      <xdr:spPr>
        <a:xfrm>
          <a:off x="4124325" y="1619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CC9F5602-7078-415B-988E-5ADFB48F2C74}"/>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5EBD628B-1F9F-4E55-93E9-1CD78C65640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C12B2AC6-EF38-47C0-98C5-237947485E6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7E083E4E-6410-4089-B662-16C4B1C3D4F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CD58374A-5E4C-4959-9EE6-C48052E3973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F54BD7E7-A8A1-4809-8A39-405AAB68D72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5ED33B2E-1FE6-4496-B476-15335479749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3207A9D8-4C62-4019-8051-290D30C46A1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B55B0CD9-0145-47BB-A7CA-A2EC56663F47}"/>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776B45B8-678B-4E61-A813-DDEDF6453EA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77BA97EF-1C23-4E5B-B63C-1AFB88DA8C7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EB233077-E720-48B8-830C-3573155A7B2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17B7C63D-E17F-41F8-8431-AAFE014F908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47FB8927-F164-41DF-B69F-5734EBC1D2A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5FF1434-F5D3-4D1F-8B8D-367729245F43}"/>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7BE011CA-DC8F-4683-B791-D237F113482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D19C8272-26CC-43C0-912C-F5C51A86CBF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30C698BB-6C48-4C04-8930-AE30AF5E29C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97E1E039-6153-4B9F-BBB1-BBB69EA7FD3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3BD7F416-4EEC-41A4-82E2-13A19215761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7EB12EEB-2C1C-44C3-B923-F5A1C886CF06}"/>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39AC0E90-4D9C-495E-BEF8-44642262A83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AA82ECE9-600D-4A42-BCC8-C6CBB44C5C0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89835319-458E-4BAE-9C85-3509531E638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3C58B0FE-14A2-46CF-BDB5-C6F65483907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464EAFEA-BE6E-4E59-9B6D-F99D656E561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BBB9D1BD-A26B-4F9A-AEB2-5EADE1DC4553}"/>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C0BB7A61-772A-4E4B-9BB6-C8E5502CF8A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8E458B0B-F5D8-4B22-8965-8AB78E4F289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479A34DF-66A1-4840-AD71-7D084335600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95EF0D20-ACC8-499F-9C22-04CE559077F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5D6E7E73-6DC7-4C04-A5A7-013C00CC443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CA614919-9C76-48D7-8F42-1C76855E7FA3}"/>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A2007AF6-09A0-4966-827A-7AB2C3DA3E4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BCDDD6A-3D33-4F79-B33A-B42E93882BC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2A5DE6EE-568E-4A5F-B828-B3F27809135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D79EBFA2-8498-4278-AA5D-BBB3AB3D68B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9A7D3A84-399F-435E-B6A2-49385C1F13E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C39F1EF8-AD7C-43D8-B37B-554C943995DB}"/>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DF6581FD-6E2E-4652-9189-97A1A59E69A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6CB5FCD0-2710-49B8-9E94-D511F36EDA39}"/>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C61A69F2-31CF-4C36-8855-BCD268BF5DAC}"/>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AFD07369-209D-4C8F-AF1F-4826A801B765}"/>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2DEC7FC-629C-4347-8FE0-EF6E2FF7D895}"/>
            </a:ext>
          </a:extLst>
        </xdr:cNvPr>
        <xdr:cNvSpPr txBox="1"/>
      </xdr:nvSpPr>
      <xdr:spPr>
        <a:xfrm>
          <a:off x="0" y="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88" name="Shape 11">
          <a:extLst>
            <a:ext uri="{FF2B5EF4-FFF2-40B4-BE49-F238E27FC236}">
              <a16:creationId xmlns:a16="http://schemas.microsoft.com/office/drawing/2014/main" id="{A04FD98B-FB36-4494-AD2B-3558B537EB7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89" name="Shape 10">
          <a:extLst>
            <a:ext uri="{FF2B5EF4-FFF2-40B4-BE49-F238E27FC236}">
              <a16:creationId xmlns:a16="http://schemas.microsoft.com/office/drawing/2014/main" id="{ACCB99AA-BA44-4EFE-9C6D-3914CBE5CFE0}"/>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0" name="Shape 11">
          <a:extLst>
            <a:ext uri="{FF2B5EF4-FFF2-40B4-BE49-F238E27FC236}">
              <a16:creationId xmlns:a16="http://schemas.microsoft.com/office/drawing/2014/main" id="{37CEFF4E-1C30-42A5-BD2A-C2F9CCB66E2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1" name="Shape 11">
          <a:extLst>
            <a:ext uri="{FF2B5EF4-FFF2-40B4-BE49-F238E27FC236}">
              <a16:creationId xmlns:a16="http://schemas.microsoft.com/office/drawing/2014/main" id="{A4E219EE-816B-476E-A9AA-C081CD8BFCA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2" name="Shape 11">
          <a:extLst>
            <a:ext uri="{FF2B5EF4-FFF2-40B4-BE49-F238E27FC236}">
              <a16:creationId xmlns:a16="http://schemas.microsoft.com/office/drawing/2014/main" id="{71AF3EA6-E016-4276-B1F2-2E43E12BE31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3" name="Shape 11">
          <a:extLst>
            <a:ext uri="{FF2B5EF4-FFF2-40B4-BE49-F238E27FC236}">
              <a16:creationId xmlns:a16="http://schemas.microsoft.com/office/drawing/2014/main" id="{90377639-EE2B-45BF-91AD-3E4C2D56017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4" name="Shape 11">
          <a:extLst>
            <a:ext uri="{FF2B5EF4-FFF2-40B4-BE49-F238E27FC236}">
              <a16:creationId xmlns:a16="http://schemas.microsoft.com/office/drawing/2014/main" id="{04DFE6C7-D0A7-4B6C-98CF-70D96968254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95" name="Shape 10">
          <a:extLst>
            <a:ext uri="{FF2B5EF4-FFF2-40B4-BE49-F238E27FC236}">
              <a16:creationId xmlns:a16="http://schemas.microsoft.com/office/drawing/2014/main" id="{CE801DD2-824F-476E-95AE-84D16475AF48}"/>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6" name="Shape 11">
          <a:extLst>
            <a:ext uri="{FF2B5EF4-FFF2-40B4-BE49-F238E27FC236}">
              <a16:creationId xmlns:a16="http://schemas.microsoft.com/office/drawing/2014/main" id="{C7EACE06-444A-4EE3-BEB4-1B20DFCA717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7" name="Shape 11">
          <a:extLst>
            <a:ext uri="{FF2B5EF4-FFF2-40B4-BE49-F238E27FC236}">
              <a16:creationId xmlns:a16="http://schemas.microsoft.com/office/drawing/2014/main" id="{D7F6F426-FBB2-4DF5-95F4-67A1FD60189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8" name="Shape 11">
          <a:extLst>
            <a:ext uri="{FF2B5EF4-FFF2-40B4-BE49-F238E27FC236}">
              <a16:creationId xmlns:a16="http://schemas.microsoft.com/office/drawing/2014/main" id="{E27BBC0A-136F-4CB1-8379-34B37D8803B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9" name="Shape 11">
          <a:extLst>
            <a:ext uri="{FF2B5EF4-FFF2-40B4-BE49-F238E27FC236}">
              <a16:creationId xmlns:a16="http://schemas.microsoft.com/office/drawing/2014/main" id="{DEFE447F-FFA9-4880-96FB-B6290DE2EDF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0" name="Shape 11">
          <a:extLst>
            <a:ext uri="{FF2B5EF4-FFF2-40B4-BE49-F238E27FC236}">
              <a16:creationId xmlns:a16="http://schemas.microsoft.com/office/drawing/2014/main" id="{043F0FB9-D0BF-4BE8-B885-D5CECE92CEF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1" name="Shape 10">
          <a:extLst>
            <a:ext uri="{FF2B5EF4-FFF2-40B4-BE49-F238E27FC236}">
              <a16:creationId xmlns:a16="http://schemas.microsoft.com/office/drawing/2014/main" id="{EEED656C-F037-4F0B-B1EC-C97CF8B3363B}"/>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2" name="Shape 11">
          <a:extLst>
            <a:ext uri="{FF2B5EF4-FFF2-40B4-BE49-F238E27FC236}">
              <a16:creationId xmlns:a16="http://schemas.microsoft.com/office/drawing/2014/main" id="{4DEA94EB-BC83-4617-8EAB-4FD9F2FFA6C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3" name="Shape 11">
          <a:extLst>
            <a:ext uri="{FF2B5EF4-FFF2-40B4-BE49-F238E27FC236}">
              <a16:creationId xmlns:a16="http://schemas.microsoft.com/office/drawing/2014/main" id="{CB3985AC-3B11-49FC-A881-D59773D8F56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4" name="Shape 11">
          <a:extLst>
            <a:ext uri="{FF2B5EF4-FFF2-40B4-BE49-F238E27FC236}">
              <a16:creationId xmlns:a16="http://schemas.microsoft.com/office/drawing/2014/main" id="{417E6C1F-B62A-4385-B259-731C38F54AE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5" name="Shape 11">
          <a:extLst>
            <a:ext uri="{FF2B5EF4-FFF2-40B4-BE49-F238E27FC236}">
              <a16:creationId xmlns:a16="http://schemas.microsoft.com/office/drawing/2014/main" id="{F0141B28-6CC8-4745-B85C-67079B6758A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6" name="Shape 11">
          <a:extLst>
            <a:ext uri="{FF2B5EF4-FFF2-40B4-BE49-F238E27FC236}">
              <a16:creationId xmlns:a16="http://schemas.microsoft.com/office/drawing/2014/main" id="{AD99A459-BE10-4512-8B6A-3225EE9F29A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7" name="Shape 10">
          <a:extLst>
            <a:ext uri="{FF2B5EF4-FFF2-40B4-BE49-F238E27FC236}">
              <a16:creationId xmlns:a16="http://schemas.microsoft.com/office/drawing/2014/main" id="{01CD19F4-61ED-4A73-A178-38E64133EC3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8" name="Shape 11">
          <a:extLst>
            <a:ext uri="{FF2B5EF4-FFF2-40B4-BE49-F238E27FC236}">
              <a16:creationId xmlns:a16="http://schemas.microsoft.com/office/drawing/2014/main" id="{D17498F2-E527-4425-B2EF-1B45771F5C8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9" name="Shape 11">
          <a:extLst>
            <a:ext uri="{FF2B5EF4-FFF2-40B4-BE49-F238E27FC236}">
              <a16:creationId xmlns:a16="http://schemas.microsoft.com/office/drawing/2014/main" id="{6AECB2A3-DBBC-4BE2-9D9E-6F790052C6F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0" name="Shape 11">
          <a:extLst>
            <a:ext uri="{FF2B5EF4-FFF2-40B4-BE49-F238E27FC236}">
              <a16:creationId xmlns:a16="http://schemas.microsoft.com/office/drawing/2014/main" id="{0E2352B1-E678-4C01-8ACB-FBCA9D6330A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1" name="Shape 11">
          <a:extLst>
            <a:ext uri="{FF2B5EF4-FFF2-40B4-BE49-F238E27FC236}">
              <a16:creationId xmlns:a16="http://schemas.microsoft.com/office/drawing/2014/main" id="{46107F7E-6696-40C6-86E0-EF3F119D6E6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2" name="Shape 11">
          <a:extLst>
            <a:ext uri="{FF2B5EF4-FFF2-40B4-BE49-F238E27FC236}">
              <a16:creationId xmlns:a16="http://schemas.microsoft.com/office/drawing/2014/main" id="{3CE9852B-14AB-4563-9036-8448C873EA9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3" name="Shape 10">
          <a:extLst>
            <a:ext uri="{FF2B5EF4-FFF2-40B4-BE49-F238E27FC236}">
              <a16:creationId xmlns:a16="http://schemas.microsoft.com/office/drawing/2014/main" id="{365BFF03-6019-49B7-A3F9-1986B83B6F8B}"/>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4" name="Shape 11">
          <a:extLst>
            <a:ext uri="{FF2B5EF4-FFF2-40B4-BE49-F238E27FC236}">
              <a16:creationId xmlns:a16="http://schemas.microsoft.com/office/drawing/2014/main" id="{330DE668-10AA-49CD-A1E5-86E10B25A06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5" name="Shape 11">
          <a:extLst>
            <a:ext uri="{FF2B5EF4-FFF2-40B4-BE49-F238E27FC236}">
              <a16:creationId xmlns:a16="http://schemas.microsoft.com/office/drawing/2014/main" id="{EE47AF16-458E-4E8B-BE6A-D337B40B71C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6" name="Shape 11">
          <a:extLst>
            <a:ext uri="{FF2B5EF4-FFF2-40B4-BE49-F238E27FC236}">
              <a16:creationId xmlns:a16="http://schemas.microsoft.com/office/drawing/2014/main" id="{57BF9AAD-0B2C-47B3-B5DB-A9E4C1CD24D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7" name="Shape 11">
          <a:extLst>
            <a:ext uri="{FF2B5EF4-FFF2-40B4-BE49-F238E27FC236}">
              <a16:creationId xmlns:a16="http://schemas.microsoft.com/office/drawing/2014/main" id="{7C61C593-F67A-4A3B-8ECB-77606877652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8" name="Shape 11">
          <a:extLst>
            <a:ext uri="{FF2B5EF4-FFF2-40B4-BE49-F238E27FC236}">
              <a16:creationId xmlns:a16="http://schemas.microsoft.com/office/drawing/2014/main" id="{9CA1CD05-BA92-45E5-AE68-9AA6BB0B03D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9" name="Shape 10">
          <a:extLst>
            <a:ext uri="{FF2B5EF4-FFF2-40B4-BE49-F238E27FC236}">
              <a16:creationId xmlns:a16="http://schemas.microsoft.com/office/drawing/2014/main" id="{46A79D07-4EB3-48B3-9F25-32A3E48ED1C0}"/>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0" name="Shape 11">
          <a:extLst>
            <a:ext uri="{FF2B5EF4-FFF2-40B4-BE49-F238E27FC236}">
              <a16:creationId xmlns:a16="http://schemas.microsoft.com/office/drawing/2014/main" id="{662C4381-4777-487C-8C98-C9400EEDB27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1" name="Shape 11">
          <a:extLst>
            <a:ext uri="{FF2B5EF4-FFF2-40B4-BE49-F238E27FC236}">
              <a16:creationId xmlns:a16="http://schemas.microsoft.com/office/drawing/2014/main" id="{34FF6727-4F40-4ED9-8927-04EE0D1F25D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2" name="Shape 11">
          <a:extLst>
            <a:ext uri="{FF2B5EF4-FFF2-40B4-BE49-F238E27FC236}">
              <a16:creationId xmlns:a16="http://schemas.microsoft.com/office/drawing/2014/main" id="{E6E96CDF-BCF7-4A9C-B36E-D7E943D7152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3" name="Shape 11">
          <a:extLst>
            <a:ext uri="{FF2B5EF4-FFF2-40B4-BE49-F238E27FC236}">
              <a16:creationId xmlns:a16="http://schemas.microsoft.com/office/drawing/2014/main" id="{75E1FDE0-7DDD-4801-B204-B5A0618A49A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4" name="Shape 11">
          <a:extLst>
            <a:ext uri="{FF2B5EF4-FFF2-40B4-BE49-F238E27FC236}">
              <a16:creationId xmlns:a16="http://schemas.microsoft.com/office/drawing/2014/main" id="{ED08FD00-741D-4F6C-8B38-7E1BBB129CD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5" name="Shape 10">
          <a:extLst>
            <a:ext uri="{FF2B5EF4-FFF2-40B4-BE49-F238E27FC236}">
              <a16:creationId xmlns:a16="http://schemas.microsoft.com/office/drawing/2014/main" id="{036EE132-4D4C-4DC7-AD20-A20EEB2E1C19}"/>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6" name="Shape 11">
          <a:extLst>
            <a:ext uri="{FF2B5EF4-FFF2-40B4-BE49-F238E27FC236}">
              <a16:creationId xmlns:a16="http://schemas.microsoft.com/office/drawing/2014/main" id="{D2D356F8-2C59-4F55-9B48-85018509D5B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7" name="Shape 13">
          <a:extLst>
            <a:ext uri="{FF2B5EF4-FFF2-40B4-BE49-F238E27FC236}">
              <a16:creationId xmlns:a16="http://schemas.microsoft.com/office/drawing/2014/main" id="{03F964FA-57F5-4943-A3FF-9A96CB0E710E}"/>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28" name="Shape 14">
          <a:extLst>
            <a:ext uri="{FF2B5EF4-FFF2-40B4-BE49-F238E27FC236}">
              <a16:creationId xmlns:a16="http://schemas.microsoft.com/office/drawing/2014/main" id="{609A6C62-D1C9-47B1-AD62-F1F4D28F05E4}"/>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9" name="Shape 10">
          <a:extLst>
            <a:ext uri="{FF2B5EF4-FFF2-40B4-BE49-F238E27FC236}">
              <a16:creationId xmlns:a16="http://schemas.microsoft.com/office/drawing/2014/main" id="{3D849028-02F7-49C0-9686-70A41FBCE06D}"/>
            </a:ext>
          </a:extLst>
        </xdr:cNvPr>
        <xdr:cNvSpPr txBox="1"/>
      </xdr:nvSpPr>
      <xdr:spPr>
        <a:xfrm>
          <a:off x="4124325" y="90678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30" name="Shape 14">
          <a:extLst>
            <a:ext uri="{FF2B5EF4-FFF2-40B4-BE49-F238E27FC236}">
              <a16:creationId xmlns:a16="http://schemas.microsoft.com/office/drawing/2014/main" id="{F69DD725-D9DC-4B0A-872B-CD1DC7F9B51F}"/>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1" name="Shape 11">
          <a:extLst>
            <a:ext uri="{FF2B5EF4-FFF2-40B4-BE49-F238E27FC236}">
              <a16:creationId xmlns:a16="http://schemas.microsoft.com/office/drawing/2014/main" id="{E533B098-C4BD-42D4-98C7-A633833848E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2" name="Shape 10">
          <a:extLst>
            <a:ext uri="{FF2B5EF4-FFF2-40B4-BE49-F238E27FC236}">
              <a16:creationId xmlns:a16="http://schemas.microsoft.com/office/drawing/2014/main" id="{0BD5A0C7-FECB-44BC-8D04-58B8BD5DC56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3" name="Shape 11">
          <a:extLst>
            <a:ext uri="{FF2B5EF4-FFF2-40B4-BE49-F238E27FC236}">
              <a16:creationId xmlns:a16="http://schemas.microsoft.com/office/drawing/2014/main" id="{10830533-BCBB-49CB-A27F-1D13E5C9F95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4" name="Shape 11">
          <a:extLst>
            <a:ext uri="{FF2B5EF4-FFF2-40B4-BE49-F238E27FC236}">
              <a16:creationId xmlns:a16="http://schemas.microsoft.com/office/drawing/2014/main" id="{7674EBA4-2BFD-42D4-915B-B255B6D5BC2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5" name="Shape 11">
          <a:extLst>
            <a:ext uri="{FF2B5EF4-FFF2-40B4-BE49-F238E27FC236}">
              <a16:creationId xmlns:a16="http://schemas.microsoft.com/office/drawing/2014/main" id="{10BE9901-2573-4AA4-85C9-656E74812A3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6" name="Shape 11">
          <a:extLst>
            <a:ext uri="{FF2B5EF4-FFF2-40B4-BE49-F238E27FC236}">
              <a16:creationId xmlns:a16="http://schemas.microsoft.com/office/drawing/2014/main" id="{CC2C1667-4091-48B3-8C87-93B01CDA5CC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7" name="Shape 11">
          <a:extLst>
            <a:ext uri="{FF2B5EF4-FFF2-40B4-BE49-F238E27FC236}">
              <a16:creationId xmlns:a16="http://schemas.microsoft.com/office/drawing/2014/main" id="{512157FB-191E-4C88-A7A7-197D55FDB09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8" name="Shape 10">
          <a:extLst>
            <a:ext uri="{FF2B5EF4-FFF2-40B4-BE49-F238E27FC236}">
              <a16:creationId xmlns:a16="http://schemas.microsoft.com/office/drawing/2014/main" id="{0802B484-7B90-40BB-8C9E-B3656DBFE98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9" name="Shape 11">
          <a:extLst>
            <a:ext uri="{FF2B5EF4-FFF2-40B4-BE49-F238E27FC236}">
              <a16:creationId xmlns:a16="http://schemas.microsoft.com/office/drawing/2014/main" id="{B3098DA9-04D8-431E-ACE4-04228ACE2E1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0" name="Shape 11">
          <a:extLst>
            <a:ext uri="{FF2B5EF4-FFF2-40B4-BE49-F238E27FC236}">
              <a16:creationId xmlns:a16="http://schemas.microsoft.com/office/drawing/2014/main" id="{155858E2-7DDF-4B8C-941B-44FA7BFA613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1" name="Shape 11">
          <a:extLst>
            <a:ext uri="{FF2B5EF4-FFF2-40B4-BE49-F238E27FC236}">
              <a16:creationId xmlns:a16="http://schemas.microsoft.com/office/drawing/2014/main" id="{13DA9C71-3D99-4A94-9B91-D887D6C465B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2" name="Shape 11">
          <a:extLst>
            <a:ext uri="{FF2B5EF4-FFF2-40B4-BE49-F238E27FC236}">
              <a16:creationId xmlns:a16="http://schemas.microsoft.com/office/drawing/2014/main" id="{EE155314-6254-45C6-9A4F-9D8D7414C2A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3" name="Shape 11">
          <a:extLst>
            <a:ext uri="{FF2B5EF4-FFF2-40B4-BE49-F238E27FC236}">
              <a16:creationId xmlns:a16="http://schemas.microsoft.com/office/drawing/2014/main" id="{2D2BB866-79FD-4611-9EFD-23FC106E71C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44" name="Shape 10">
          <a:extLst>
            <a:ext uri="{FF2B5EF4-FFF2-40B4-BE49-F238E27FC236}">
              <a16:creationId xmlns:a16="http://schemas.microsoft.com/office/drawing/2014/main" id="{156EE86A-3791-4124-9545-3873D2A6879D}"/>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5" name="Shape 11">
          <a:extLst>
            <a:ext uri="{FF2B5EF4-FFF2-40B4-BE49-F238E27FC236}">
              <a16:creationId xmlns:a16="http://schemas.microsoft.com/office/drawing/2014/main" id="{CCCCF882-1C23-4F55-A921-1688BB7837A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6" name="Shape 11">
          <a:extLst>
            <a:ext uri="{FF2B5EF4-FFF2-40B4-BE49-F238E27FC236}">
              <a16:creationId xmlns:a16="http://schemas.microsoft.com/office/drawing/2014/main" id="{1C2F9A54-D756-4209-A33E-601BF5DF791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7" name="Shape 11">
          <a:extLst>
            <a:ext uri="{FF2B5EF4-FFF2-40B4-BE49-F238E27FC236}">
              <a16:creationId xmlns:a16="http://schemas.microsoft.com/office/drawing/2014/main" id="{FB9F9965-18CD-45BA-99B9-1ED1510B29D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8" name="Shape 11">
          <a:extLst>
            <a:ext uri="{FF2B5EF4-FFF2-40B4-BE49-F238E27FC236}">
              <a16:creationId xmlns:a16="http://schemas.microsoft.com/office/drawing/2014/main" id="{09D34EB9-0310-4190-8EDD-89E72AA9ED9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9" name="Shape 11">
          <a:extLst>
            <a:ext uri="{FF2B5EF4-FFF2-40B4-BE49-F238E27FC236}">
              <a16:creationId xmlns:a16="http://schemas.microsoft.com/office/drawing/2014/main" id="{D66FADFD-1B66-479C-AD8C-5C73DCCC68A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0" name="Shape 10">
          <a:extLst>
            <a:ext uri="{FF2B5EF4-FFF2-40B4-BE49-F238E27FC236}">
              <a16:creationId xmlns:a16="http://schemas.microsoft.com/office/drawing/2014/main" id="{CCE8A323-DC7C-4C59-BF86-529E9A674580}"/>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1" name="Shape 11">
          <a:extLst>
            <a:ext uri="{FF2B5EF4-FFF2-40B4-BE49-F238E27FC236}">
              <a16:creationId xmlns:a16="http://schemas.microsoft.com/office/drawing/2014/main" id="{307FE89D-E34A-4C91-ADDA-60866C0D976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2" name="Shape 11">
          <a:extLst>
            <a:ext uri="{FF2B5EF4-FFF2-40B4-BE49-F238E27FC236}">
              <a16:creationId xmlns:a16="http://schemas.microsoft.com/office/drawing/2014/main" id="{780C44AC-C4B1-4EAE-91F2-0C6599F1F66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3" name="Shape 11">
          <a:extLst>
            <a:ext uri="{FF2B5EF4-FFF2-40B4-BE49-F238E27FC236}">
              <a16:creationId xmlns:a16="http://schemas.microsoft.com/office/drawing/2014/main" id="{53247FCF-AB55-4493-8F0D-7D4F1D556D1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4" name="Shape 11">
          <a:extLst>
            <a:ext uri="{FF2B5EF4-FFF2-40B4-BE49-F238E27FC236}">
              <a16:creationId xmlns:a16="http://schemas.microsoft.com/office/drawing/2014/main" id="{5EDF3648-8D01-445E-9FD6-8C664D9E722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5" name="Shape 11">
          <a:extLst>
            <a:ext uri="{FF2B5EF4-FFF2-40B4-BE49-F238E27FC236}">
              <a16:creationId xmlns:a16="http://schemas.microsoft.com/office/drawing/2014/main" id="{3BACA2BC-1B3E-4490-AA94-64EC8D25FA9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6" name="Shape 10">
          <a:extLst>
            <a:ext uri="{FF2B5EF4-FFF2-40B4-BE49-F238E27FC236}">
              <a16:creationId xmlns:a16="http://schemas.microsoft.com/office/drawing/2014/main" id="{5B61BC7B-1ED3-48CF-9D24-0ECFA54538F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7" name="Shape 11">
          <a:extLst>
            <a:ext uri="{FF2B5EF4-FFF2-40B4-BE49-F238E27FC236}">
              <a16:creationId xmlns:a16="http://schemas.microsoft.com/office/drawing/2014/main" id="{C033B659-5E96-4F2F-B97F-8AECCA528AC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8" name="Shape 11">
          <a:extLst>
            <a:ext uri="{FF2B5EF4-FFF2-40B4-BE49-F238E27FC236}">
              <a16:creationId xmlns:a16="http://schemas.microsoft.com/office/drawing/2014/main" id="{2E7B4EA3-01AB-48DC-9185-F19C7921636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9" name="Shape 11">
          <a:extLst>
            <a:ext uri="{FF2B5EF4-FFF2-40B4-BE49-F238E27FC236}">
              <a16:creationId xmlns:a16="http://schemas.microsoft.com/office/drawing/2014/main" id="{2AB1E4FE-754F-438A-A536-691E22B57DC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0" name="Shape 11">
          <a:extLst>
            <a:ext uri="{FF2B5EF4-FFF2-40B4-BE49-F238E27FC236}">
              <a16:creationId xmlns:a16="http://schemas.microsoft.com/office/drawing/2014/main" id="{2FB5AEEA-178D-4FC4-AB7D-BD9FD10C044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1" name="Shape 11">
          <a:extLst>
            <a:ext uri="{FF2B5EF4-FFF2-40B4-BE49-F238E27FC236}">
              <a16:creationId xmlns:a16="http://schemas.microsoft.com/office/drawing/2014/main" id="{AFC51725-A538-47C3-A3C6-B218840B698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2" name="Shape 10">
          <a:extLst>
            <a:ext uri="{FF2B5EF4-FFF2-40B4-BE49-F238E27FC236}">
              <a16:creationId xmlns:a16="http://schemas.microsoft.com/office/drawing/2014/main" id="{3139998F-6A57-4F54-8128-78D86068A89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3" name="Shape 11">
          <a:extLst>
            <a:ext uri="{FF2B5EF4-FFF2-40B4-BE49-F238E27FC236}">
              <a16:creationId xmlns:a16="http://schemas.microsoft.com/office/drawing/2014/main" id="{E45626EB-CE31-4EAE-80F3-45558F9EABA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4" name="Shape 11">
          <a:extLst>
            <a:ext uri="{FF2B5EF4-FFF2-40B4-BE49-F238E27FC236}">
              <a16:creationId xmlns:a16="http://schemas.microsoft.com/office/drawing/2014/main" id="{53D68061-FAAF-434A-B584-15BD48C1A3B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5" name="Shape 11">
          <a:extLst>
            <a:ext uri="{FF2B5EF4-FFF2-40B4-BE49-F238E27FC236}">
              <a16:creationId xmlns:a16="http://schemas.microsoft.com/office/drawing/2014/main" id="{D1DB8791-D41B-486B-939F-CBCB1EA8AD2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6" name="Shape 11">
          <a:extLst>
            <a:ext uri="{FF2B5EF4-FFF2-40B4-BE49-F238E27FC236}">
              <a16:creationId xmlns:a16="http://schemas.microsoft.com/office/drawing/2014/main" id="{1A9E55FD-DC37-41D5-984D-0933991E5B3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7" name="Shape 11">
          <a:extLst>
            <a:ext uri="{FF2B5EF4-FFF2-40B4-BE49-F238E27FC236}">
              <a16:creationId xmlns:a16="http://schemas.microsoft.com/office/drawing/2014/main" id="{CBD96496-F4DF-49AB-868E-267CAB4301E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8" name="Shape 10">
          <a:extLst>
            <a:ext uri="{FF2B5EF4-FFF2-40B4-BE49-F238E27FC236}">
              <a16:creationId xmlns:a16="http://schemas.microsoft.com/office/drawing/2014/main" id="{82373558-6B7F-4236-87AC-B833A306286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9" name="Shape 11">
          <a:extLst>
            <a:ext uri="{FF2B5EF4-FFF2-40B4-BE49-F238E27FC236}">
              <a16:creationId xmlns:a16="http://schemas.microsoft.com/office/drawing/2014/main" id="{D843BB2F-C7F3-4819-8523-D5A189B7DC3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0" name="Shape 13">
          <a:extLst>
            <a:ext uri="{FF2B5EF4-FFF2-40B4-BE49-F238E27FC236}">
              <a16:creationId xmlns:a16="http://schemas.microsoft.com/office/drawing/2014/main" id="{540657FF-6B28-4421-806D-04027C0293E8}"/>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1" name="Shape 14">
          <a:extLst>
            <a:ext uri="{FF2B5EF4-FFF2-40B4-BE49-F238E27FC236}">
              <a16:creationId xmlns:a16="http://schemas.microsoft.com/office/drawing/2014/main" id="{F9E9843F-ADFC-48D2-88A7-5BA8380193DC}"/>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2" name="Shape 10">
          <a:extLst>
            <a:ext uri="{FF2B5EF4-FFF2-40B4-BE49-F238E27FC236}">
              <a16:creationId xmlns:a16="http://schemas.microsoft.com/office/drawing/2014/main" id="{98671A6F-D403-4924-8222-E71DCF7F200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3" name="Shape 12">
          <a:extLst>
            <a:ext uri="{FF2B5EF4-FFF2-40B4-BE49-F238E27FC236}">
              <a16:creationId xmlns:a16="http://schemas.microsoft.com/office/drawing/2014/main" id="{86EB3739-7663-495B-81DE-276FFEAA4AA6}"/>
            </a:ext>
          </a:extLst>
        </xdr:cNvPr>
        <xdr:cNvSpPr txBox="1"/>
      </xdr:nvSpPr>
      <xdr:spPr>
        <a:xfrm>
          <a:off x="0" y="89058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4" name="Shape 11">
          <a:extLst>
            <a:ext uri="{FF2B5EF4-FFF2-40B4-BE49-F238E27FC236}">
              <a16:creationId xmlns:a16="http://schemas.microsoft.com/office/drawing/2014/main" id="{2EFF4FB5-18E9-4C6E-B4A9-66F986C18D2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5" name="Shape 10">
          <a:extLst>
            <a:ext uri="{FF2B5EF4-FFF2-40B4-BE49-F238E27FC236}">
              <a16:creationId xmlns:a16="http://schemas.microsoft.com/office/drawing/2014/main" id="{9B89250E-8E07-4032-9CBF-A32AE5E8FC61}"/>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6" name="Shape 11">
          <a:extLst>
            <a:ext uri="{FF2B5EF4-FFF2-40B4-BE49-F238E27FC236}">
              <a16:creationId xmlns:a16="http://schemas.microsoft.com/office/drawing/2014/main" id="{6C1BC737-C752-4DF6-A671-7B89E15A8D0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7" name="Shape 11">
          <a:extLst>
            <a:ext uri="{FF2B5EF4-FFF2-40B4-BE49-F238E27FC236}">
              <a16:creationId xmlns:a16="http://schemas.microsoft.com/office/drawing/2014/main" id="{FB427748-1518-4AA6-9FDD-07BEF41D87E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8" name="Shape 11">
          <a:extLst>
            <a:ext uri="{FF2B5EF4-FFF2-40B4-BE49-F238E27FC236}">
              <a16:creationId xmlns:a16="http://schemas.microsoft.com/office/drawing/2014/main" id="{0562C389-D691-429D-9AA3-425AE2C1440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9" name="Shape 11">
          <a:extLst>
            <a:ext uri="{FF2B5EF4-FFF2-40B4-BE49-F238E27FC236}">
              <a16:creationId xmlns:a16="http://schemas.microsoft.com/office/drawing/2014/main" id="{F45AFA74-8874-446B-B8D7-39CD6D6D247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0" name="Shape 11">
          <a:extLst>
            <a:ext uri="{FF2B5EF4-FFF2-40B4-BE49-F238E27FC236}">
              <a16:creationId xmlns:a16="http://schemas.microsoft.com/office/drawing/2014/main" id="{15026959-626D-46D6-88CB-3B4C9B76E37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1" name="Shape 10">
          <a:extLst>
            <a:ext uri="{FF2B5EF4-FFF2-40B4-BE49-F238E27FC236}">
              <a16:creationId xmlns:a16="http://schemas.microsoft.com/office/drawing/2014/main" id="{69DAEDC7-6F5E-4552-AE4A-8DD29F6DD947}"/>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2" name="Shape 11">
          <a:extLst>
            <a:ext uri="{FF2B5EF4-FFF2-40B4-BE49-F238E27FC236}">
              <a16:creationId xmlns:a16="http://schemas.microsoft.com/office/drawing/2014/main" id="{2AEF7F44-0429-4E77-8F83-3FC4233EF1E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3" name="Shape 11">
          <a:extLst>
            <a:ext uri="{FF2B5EF4-FFF2-40B4-BE49-F238E27FC236}">
              <a16:creationId xmlns:a16="http://schemas.microsoft.com/office/drawing/2014/main" id="{66BF5EA0-6B88-4B26-9B3E-B15691E6EF1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4" name="Shape 11">
          <a:extLst>
            <a:ext uri="{FF2B5EF4-FFF2-40B4-BE49-F238E27FC236}">
              <a16:creationId xmlns:a16="http://schemas.microsoft.com/office/drawing/2014/main" id="{132B546E-7800-45D1-A16E-6EA30F8FCEB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5" name="Shape 11">
          <a:extLst>
            <a:ext uri="{FF2B5EF4-FFF2-40B4-BE49-F238E27FC236}">
              <a16:creationId xmlns:a16="http://schemas.microsoft.com/office/drawing/2014/main" id="{6063DF20-55F5-42AC-92D6-9B16C612567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6" name="Shape 11">
          <a:extLst>
            <a:ext uri="{FF2B5EF4-FFF2-40B4-BE49-F238E27FC236}">
              <a16:creationId xmlns:a16="http://schemas.microsoft.com/office/drawing/2014/main" id="{82CD456F-9234-41B5-B48A-1E22966D830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7" name="Shape 10">
          <a:extLst>
            <a:ext uri="{FF2B5EF4-FFF2-40B4-BE49-F238E27FC236}">
              <a16:creationId xmlns:a16="http://schemas.microsoft.com/office/drawing/2014/main" id="{027C365D-14A7-4358-B9E6-EE13FA29DCE1}"/>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8" name="Shape 11">
          <a:extLst>
            <a:ext uri="{FF2B5EF4-FFF2-40B4-BE49-F238E27FC236}">
              <a16:creationId xmlns:a16="http://schemas.microsoft.com/office/drawing/2014/main" id="{9B68680E-B613-496D-BC62-E46F598F9A9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9" name="Shape 11">
          <a:extLst>
            <a:ext uri="{FF2B5EF4-FFF2-40B4-BE49-F238E27FC236}">
              <a16:creationId xmlns:a16="http://schemas.microsoft.com/office/drawing/2014/main" id="{C311784C-4D50-4097-B7F9-8391E843392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0" name="Shape 11">
          <a:extLst>
            <a:ext uri="{FF2B5EF4-FFF2-40B4-BE49-F238E27FC236}">
              <a16:creationId xmlns:a16="http://schemas.microsoft.com/office/drawing/2014/main" id="{8B36E57D-6B67-4AD3-B31D-3819F58A6A8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1" name="Shape 11">
          <a:extLst>
            <a:ext uri="{FF2B5EF4-FFF2-40B4-BE49-F238E27FC236}">
              <a16:creationId xmlns:a16="http://schemas.microsoft.com/office/drawing/2014/main" id="{457544E9-88B0-4C1A-9C6E-AF30227ECC1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2" name="Shape 11">
          <a:extLst>
            <a:ext uri="{FF2B5EF4-FFF2-40B4-BE49-F238E27FC236}">
              <a16:creationId xmlns:a16="http://schemas.microsoft.com/office/drawing/2014/main" id="{4203373E-E8EE-4C33-AF4B-74480A7D291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3" name="Shape 10">
          <a:extLst>
            <a:ext uri="{FF2B5EF4-FFF2-40B4-BE49-F238E27FC236}">
              <a16:creationId xmlns:a16="http://schemas.microsoft.com/office/drawing/2014/main" id="{DB2D401F-81F3-429B-B5DB-A1E2C02D311B}"/>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4" name="Shape 11">
          <a:extLst>
            <a:ext uri="{FF2B5EF4-FFF2-40B4-BE49-F238E27FC236}">
              <a16:creationId xmlns:a16="http://schemas.microsoft.com/office/drawing/2014/main" id="{98497306-3F35-444E-A6D6-A2E4D9B0E9A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5" name="Shape 11">
          <a:extLst>
            <a:ext uri="{FF2B5EF4-FFF2-40B4-BE49-F238E27FC236}">
              <a16:creationId xmlns:a16="http://schemas.microsoft.com/office/drawing/2014/main" id="{D2BBF862-016C-43EC-AF43-FF1B08B8DAA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6" name="Shape 11">
          <a:extLst>
            <a:ext uri="{FF2B5EF4-FFF2-40B4-BE49-F238E27FC236}">
              <a16:creationId xmlns:a16="http://schemas.microsoft.com/office/drawing/2014/main" id="{14EEFDB0-CE79-4E1A-A00E-A7BD20FE9DA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7" name="Shape 11">
          <a:extLst>
            <a:ext uri="{FF2B5EF4-FFF2-40B4-BE49-F238E27FC236}">
              <a16:creationId xmlns:a16="http://schemas.microsoft.com/office/drawing/2014/main" id="{6FCB9A07-8A74-49AA-910D-20356258562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8" name="Shape 11">
          <a:extLst>
            <a:ext uri="{FF2B5EF4-FFF2-40B4-BE49-F238E27FC236}">
              <a16:creationId xmlns:a16="http://schemas.microsoft.com/office/drawing/2014/main" id="{8D8CBC6D-BF69-4170-AB94-CD2F85A2F7A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9" name="Shape 10">
          <a:extLst>
            <a:ext uri="{FF2B5EF4-FFF2-40B4-BE49-F238E27FC236}">
              <a16:creationId xmlns:a16="http://schemas.microsoft.com/office/drawing/2014/main" id="{C47CBEEB-3614-40A9-BE19-55D25E52F892}"/>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0" name="Shape 11">
          <a:extLst>
            <a:ext uri="{FF2B5EF4-FFF2-40B4-BE49-F238E27FC236}">
              <a16:creationId xmlns:a16="http://schemas.microsoft.com/office/drawing/2014/main" id="{C77F58F3-A460-44BA-B1CC-625D555696C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1" name="Shape 11">
          <a:extLst>
            <a:ext uri="{FF2B5EF4-FFF2-40B4-BE49-F238E27FC236}">
              <a16:creationId xmlns:a16="http://schemas.microsoft.com/office/drawing/2014/main" id="{F4D71062-53DE-4B24-A370-9BD1F734193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2" name="Shape 11">
          <a:extLst>
            <a:ext uri="{FF2B5EF4-FFF2-40B4-BE49-F238E27FC236}">
              <a16:creationId xmlns:a16="http://schemas.microsoft.com/office/drawing/2014/main" id="{90B9C163-0C62-47CC-8C87-7559706C70C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3" name="Shape 11">
          <a:extLst>
            <a:ext uri="{FF2B5EF4-FFF2-40B4-BE49-F238E27FC236}">
              <a16:creationId xmlns:a16="http://schemas.microsoft.com/office/drawing/2014/main" id="{7734F6BE-DB54-4CA4-82DC-718748AA29C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4" name="Shape 11">
          <a:extLst>
            <a:ext uri="{FF2B5EF4-FFF2-40B4-BE49-F238E27FC236}">
              <a16:creationId xmlns:a16="http://schemas.microsoft.com/office/drawing/2014/main" id="{CC4762B7-12AB-40AE-A46E-08BD2650A60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05" name="Shape 10">
          <a:extLst>
            <a:ext uri="{FF2B5EF4-FFF2-40B4-BE49-F238E27FC236}">
              <a16:creationId xmlns:a16="http://schemas.microsoft.com/office/drawing/2014/main" id="{62D000CD-CE20-428C-9229-AD5649E1E806}"/>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6" name="Shape 11">
          <a:extLst>
            <a:ext uri="{FF2B5EF4-FFF2-40B4-BE49-F238E27FC236}">
              <a16:creationId xmlns:a16="http://schemas.microsoft.com/office/drawing/2014/main" id="{ECE52EC6-0926-41C1-B5E7-01CE3C1B79F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7" name="Shape 11">
          <a:extLst>
            <a:ext uri="{FF2B5EF4-FFF2-40B4-BE49-F238E27FC236}">
              <a16:creationId xmlns:a16="http://schemas.microsoft.com/office/drawing/2014/main" id="{D4DEEBC0-FDB9-4F29-84A4-27229E8E280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8" name="Shape 11">
          <a:extLst>
            <a:ext uri="{FF2B5EF4-FFF2-40B4-BE49-F238E27FC236}">
              <a16:creationId xmlns:a16="http://schemas.microsoft.com/office/drawing/2014/main" id="{04E901E8-2C0C-43ED-A936-D4A48FA3F6C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9" name="Shape 11">
          <a:extLst>
            <a:ext uri="{FF2B5EF4-FFF2-40B4-BE49-F238E27FC236}">
              <a16:creationId xmlns:a16="http://schemas.microsoft.com/office/drawing/2014/main" id="{F6250D3B-20F2-4CB4-A00E-6A97DC35D79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0" name="Shape 11">
          <a:extLst>
            <a:ext uri="{FF2B5EF4-FFF2-40B4-BE49-F238E27FC236}">
              <a16:creationId xmlns:a16="http://schemas.microsoft.com/office/drawing/2014/main" id="{C86E4EC2-BD95-4C1F-9C9B-7E56B574301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1" name="Shape 10">
          <a:extLst>
            <a:ext uri="{FF2B5EF4-FFF2-40B4-BE49-F238E27FC236}">
              <a16:creationId xmlns:a16="http://schemas.microsoft.com/office/drawing/2014/main" id="{D084D75F-2A9E-483F-99FC-698B0997340F}"/>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2" name="Shape 11">
          <a:extLst>
            <a:ext uri="{FF2B5EF4-FFF2-40B4-BE49-F238E27FC236}">
              <a16:creationId xmlns:a16="http://schemas.microsoft.com/office/drawing/2014/main" id="{5AC730D5-1FE1-48F8-83BE-2528D2DA95B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3" name="Shape 13">
          <a:extLst>
            <a:ext uri="{FF2B5EF4-FFF2-40B4-BE49-F238E27FC236}">
              <a16:creationId xmlns:a16="http://schemas.microsoft.com/office/drawing/2014/main" id="{3F5FDA4F-DD6A-4180-9F3B-CBFB14D73BBB}"/>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4" name="Shape 14">
          <a:extLst>
            <a:ext uri="{FF2B5EF4-FFF2-40B4-BE49-F238E27FC236}">
              <a16:creationId xmlns:a16="http://schemas.microsoft.com/office/drawing/2014/main" id="{31F2C740-C86A-4E1D-82E8-653ADE7EBF4E}"/>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5" name="Shape 10">
          <a:extLst>
            <a:ext uri="{FF2B5EF4-FFF2-40B4-BE49-F238E27FC236}">
              <a16:creationId xmlns:a16="http://schemas.microsoft.com/office/drawing/2014/main" id="{5A5F1E06-69AF-451E-A351-3D7DD790848C}"/>
            </a:ext>
          </a:extLst>
        </xdr:cNvPr>
        <xdr:cNvSpPr txBox="1"/>
      </xdr:nvSpPr>
      <xdr:spPr>
        <a:xfrm>
          <a:off x="4124325" y="181356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6" name="Shape 14">
          <a:extLst>
            <a:ext uri="{FF2B5EF4-FFF2-40B4-BE49-F238E27FC236}">
              <a16:creationId xmlns:a16="http://schemas.microsoft.com/office/drawing/2014/main" id="{A51B30DE-5235-4524-9214-BD2A8C340F67}"/>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7" name="Shape 11">
          <a:extLst>
            <a:ext uri="{FF2B5EF4-FFF2-40B4-BE49-F238E27FC236}">
              <a16:creationId xmlns:a16="http://schemas.microsoft.com/office/drawing/2014/main" id="{2B8BDA23-2FC3-4D2B-9D68-ED7D1DCEEA3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8" name="Shape 10">
          <a:extLst>
            <a:ext uri="{FF2B5EF4-FFF2-40B4-BE49-F238E27FC236}">
              <a16:creationId xmlns:a16="http://schemas.microsoft.com/office/drawing/2014/main" id="{4CE1D781-B0E0-426E-9B99-00BBAD6E5F3C}"/>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9" name="Shape 11">
          <a:extLst>
            <a:ext uri="{FF2B5EF4-FFF2-40B4-BE49-F238E27FC236}">
              <a16:creationId xmlns:a16="http://schemas.microsoft.com/office/drawing/2014/main" id="{333B741C-9F88-418C-94BF-3E375FE0E6E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0" name="Shape 11">
          <a:extLst>
            <a:ext uri="{FF2B5EF4-FFF2-40B4-BE49-F238E27FC236}">
              <a16:creationId xmlns:a16="http://schemas.microsoft.com/office/drawing/2014/main" id="{F09A281F-AC5A-48DD-AE83-B4A6DCECA3B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1" name="Shape 11">
          <a:extLst>
            <a:ext uri="{FF2B5EF4-FFF2-40B4-BE49-F238E27FC236}">
              <a16:creationId xmlns:a16="http://schemas.microsoft.com/office/drawing/2014/main" id="{32C7E5AD-D02B-48A7-B349-9DAF9E0DDFC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2" name="Shape 11">
          <a:extLst>
            <a:ext uri="{FF2B5EF4-FFF2-40B4-BE49-F238E27FC236}">
              <a16:creationId xmlns:a16="http://schemas.microsoft.com/office/drawing/2014/main" id="{815B637F-1AB3-4ABC-AEEF-B818A5006B4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3" name="Shape 11">
          <a:extLst>
            <a:ext uri="{FF2B5EF4-FFF2-40B4-BE49-F238E27FC236}">
              <a16:creationId xmlns:a16="http://schemas.microsoft.com/office/drawing/2014/main" id="{DE8FE3F1-9DD3-4570-8E69-B59E6C0E8D8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24" name="Shape 10">
          <a:extLst>
            <a:ext uri="{FF2B5EF4-FFF2-40B4-BE49-F238E27FC236}">
              <a16:creationId xmlns:a16="http://schemas.microsoft.com/office/drawing/2014/main" id="{4B62FB4D-7443-44E0-9979-E413E255BD0D}"/>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5" name="Shape 11">
          <a:extLst>
            <a:ext uri="{FF2B5EF4-FFF2-40B4-BE49-F238E27FC236}">
              <a16:creationId xmlns:a16="http://schemas.microsoft.com/office/drawing/2014/main" id="{5106808C-8A78-4896-B877-3EB36340BA4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6" name="Shape 11">
          <a:extLst>
            <a:ext uri="{FF2B5EF4-FFF2-40B4-BE49-F238E27FC236}">
              <a16:creationId xmlns:a16="http://schemas.microsoft.com/office/drawing/2014/main" id="{B0B45734-E8FE-439E-A9A4-92E6EB992E2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7" name="Shape 11">
          <a:extLst>
            <a:ext uri="{FF2B5EF4-FFF2-40B4-BE49-F238E27FC236}">
              <a16:creationId xmlns:a16="http://schemas.microsoft.com/office/drawing/2014/main" id="{09AA594F-1B0F-47AE-AA0C-8DAFBA90B04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8" name="Shape 11">
          <a:extLst>
            <a:ext uri="{FF2B5EF4-FFF2-40B4-BE49-F238E27FC236}">
              <a16:creationId xmlns:a16="http://schemas.microsoft.com/office/drawing/2014/main" id="{3F7BF866-06EA-4E25-B68E-86589620B50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9" name="Shape 11">
          <a:extLst>
            <a:ext uri="{FF2B5EF4-FFF2-40B4-BE49-F238E27FC236}">
              <a16:creationId xmlns:a16="http://schemas.microsoft.com/office/drawing/2014/main" id="{68D5BDFC-2EAD-43A4-AFC3-F87F7B25BA6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0" name="Shape 10">
          <a:extLst>
            <a:ext uri="{FF2B5EF4-FFF2-40B4-BE49-F238E27FC236}">
              <a16:creationId xmlns:a16="http://schemas.microsoft.com/office/drawing/2014/main" id="{3F1F6315-6C6B-4DB9-900C-8174FCA65878}"/>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1" name="Shape 11">
          <a:extLst>
            <a:ext uri="{FF2B5EF4-FFF2-40B4-BE49-F238E27FC236}">
              <a16:creationId xmlns:a16="http://schemas.microsoft.com/office/drawing/2014/main" id="{D9B07624-5DF8-457E-95A6-1D629118761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2" name="Shape 11">
          <a:extLst>
            <a:ext uri="{FF2B5EF4-FFF2-40B4-BE49-F238E27FC236}">
              <a16:creationId xmlns:a16="http://schemas.microsoft.com/office/drawing/2014/main" id="{A2BF2AC9-A0B7-4CAD-9E70-E731DCBCDDC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3" name="Shape 11">
          <a:extLst>
            <a:ext uri="{FF2B5EF4-FFF2-40B4-BE49-F238E27FC236}">
              <a16:creationId xmlns:a16="http://schemas.microsoft.com/office/drawing/2014/main" id="{3FEC7117-5772-4DF0-A234-6DDE6A991AC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4" name="Shape 11">
          <a:extLst>
            <a:ext uri="{FF2B5EF4-FFF2-40B4-BE49-F238E27FC236}">
              <a16:creationId xmlns:a16="http://schemas.microsoft.com/office/drawing/2014/main" id="{E63D0B66-59C2-438D-92C0-E4050571612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5" name="Shape 11">
          <a:extLst>
            <a:ext uri="{FF2B5EF4-FFF2-40B4-BE49-F238E27FC236}">
              <a16:creationId xmlns:a16="http://schemas.microsoft.com/office/drawing/2014/main" id="{B0521C10-33CB-40A9-8775-CE2E56527F7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6" name="Shape 10">
          <a:extLst>
            <a:ext uri="{FF2B5EF4-FFF2-40B4-BE49-F238E27FC236}">
              <a16:creationId xmlns:a16="http://schemas.microsoft.com/office/drawing/2014/main" id="{D4E7B019-F062-4E40-BA4B-14367FB81D47}"/>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7" name="Shape 11">
          <a:extLst>
            <a:ext uri="{FF2B5EF4-FFF2-40B4-BE49-F238E27FC236}">
              <a16:creationId xmlns:a16="http://schemas.microsoft.com/office/drawing/2014/main" id="{6DF3FC05-4035-4221-8B3B-59FC05CDC5D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8" name="Shape 11">
          <a:extLst>
            <a:ext uri="{FF2B5EF4-FFF2-40B4-BE49-F238E27FC236}">
              <a16:creationId xmlns:a16="http://schemas.microsoft.com/office/drawing/2014/main" id="{A12005B2-F976-4241-90DF-4031DADE4C2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9" name="Shape 11">
          <a:extLst>
            <a:ext uri="{FF2B5EF4-FFF2-40B4-BE49-F238E27FC236}">
              <a16:creationId xmlns:a16="http://schemas.microsoft.com/office/drawing/2014/main" id="{AC0C8770-252E-4F06-A598-54D7A1FE3F3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0" name="Shape 11">
          <a:extLst>
            <a:ext uri="{FF2B5EF4-FFF2-40B4-BE49-F238E27FC236}">
              <a16:creationId xmlns:a16="http://schemas.microsoft.com/office/drawing/2014/main" id="{BC9E34DE-5C43-49E3-8FE7-B2562E4E9E7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1" name="Shape 11">
          <a:extLst>
            <a:ext uri="{FF2B5EF4-FFF2-40B4-BE49-F238E27FC236}">
              <a16:creationId xmlns:a16="http://schemas.microsoft.com/office/drawing/2014/main" id="{6C4CD4DF-D588-4A56-832B-A5188FBF4C7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2" name="Shape 10">
          <a:extLst>
            <a:ext uri="{FF2B5EF4-FFF2-40B4-BE49-F238E27FC236}">
              <a16:creationId xmlns:a16="http://schemas.microsoft.com/office/drawing/2014/main" id="{3264B7F9-30A1-47E5-A896-EDEBBAB8DA06}"/>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3" name="Shape 11">
          <a:extLst>
            <a:ext uri="{FF2B5EF4-FFF2-40B4-BE49-F238E27FC236}">
              <a16:creationId xmlns:a16="http://schemas.microsoft.com/office/drawing/2014/main" id="{382A545B-1EF7-4626-8F6C-B71C8709A93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4" name="Shape 11">
          <a:extLst>
            <a:ext uri="{FF2B5EF4-FFF2-40B4-BE49-F238E27FC236}">
              <a16:creationId xmlns:a16="http://schemas.microsoft.com/office/drawing/2014/main" id="{4DF61100-C703-4CEC-BCEB-B9479B25A97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5" name="Shape 11">
          <a:extLst>
            <a:ext uri="{FF2B5EF4-FFF2-40B4-BE49-F238E27FC236}">
              <a16:creationId xmlns:a16="http://schemas.microsoft.com/office/drawing/2014/main" id="{DD9F8CF7-001F-43E0-B8AC-0082AE460A2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6" name="Shape 11">
          <a:extLst>
            <a:ext uri="{FF2B5EF4-FFF2-40B4-BE49-F238E27FC236}">
              <a16:creationId xmlns:a16="http://schemas.microsoft.com/office/drawing/2014/main" id="{55F81A24-ADEE-458A-83FE-91AE3145B45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7" name="Shape 11">
          <a:extLst>
            <a:ext uri="{FF2B5EF4-FFF2-40B4-BE49-F238E27FC236}">
              <a16:creationId xmlns:a16="http://schemas.microsoft.com/office/drawing/2014/main" id="{389EFD4D-9C8B-4F67-A286-47E197F94D7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8" name="Shape 10">
          <a:extLst>
            <a:ext uri="{FF2B5EF4-FFF2-40B4-BE49-F238E27FC236}">
              <a16:creationId xmlns:a16="http://schemas.microsoft.com/office/drawing/2014/main" id="{5F37AB96-CB51-4C61-88FF-E0CB62B15162}"/>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9" name="Shape 11">
          <a:extLst>
            <a:ext uri="{FF2B5EF4-FFF2-40B4-BE49-F238E27FC236}">
              <a16:creationId xmlns:a16="http://schemas.microsoft.com/office/drawing/2014/main" id="{3A95AF12-1D1D-4183-B333-A71F51BC061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0" name="Shape 11">
          <a:extLst>
            <a:ext uri="{FF2B5EF4-FFF2-40B4-BE49-F238E27FC236}">
              <a16:creationId xmlns:a16="http://schemas.microsoft.com/office/drawing/2014/main" id="{9BAD3F95-BEAB-43E0-B627-A1E163B4BEA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1" name="Shape 11">
          <a:extLst>
            <a:ext uri="{FF2B5EF4-FFF2-40B4-BE49-F238E27FC236}">
              <a16:creationId xmlns:a16="http://schemas.microsoft.com/office/drawing/2014/main" id="{66EE117A-B3EA-4CD2-ACBA-4E34F48F50C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2" name="Shape 11">
          <a:extLst>
            <a:ext uri="{FF2B5EF4-FFF2-40B4-BE49-F238E27FC236}">
              <a16:creationId xmlns:a16="http://schemas.microsoft.com/office/drawing/2014/main" id="{DE3BAB3F-61C5-40F1-847E-4F30AB2770B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3" name="Shape 11">
          <a:extLst>
            <a:ext uri="{FF2B5EF4-FFF2-40B4-BE49-F238E27FC236}">
              <a16:creationId xmlns:a16="http://schemas.microsoft.com/office/drawing/2014/main" id="{C8CEB97A-3BF3-4D55-ADA6-B03D1BF4D9B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4" name="Shape 10">
          <a:extLst>
            <a:ext uri="{FF2B5EF4-FFF2-40B4-BE49-F238E27FC236}">
              <a16:creationId xmlns:a16="http://schemas.microsoft.com/office/drawing/2014/main" id="{0958F62A-6BF7-4CA1-9118-27FAEE47E396}"/>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5" name="Shape 11">
          <a:extLst>
            <a:ext uri="{FF2B5EF4-FFF2-40B4-BE49-F238E27FC236}">
              <a16:creationId xmlns:a16="http://schemas.microsoft.com/office/drawing/2014/main" id="{470B467A-15CC-4379-8F85-028FFC541B5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6" name="Shape 13">
          <a:extLst>
            <a:ext uri="{FF2B5EF4-FFF2-40B4-BE49-F238E27FC236}">
              <a16:creationId xmlns:a16="http://schemas.microsoft.com/office/drawing/2014/main" id="{1A29EF41-C30F-4084-858F-B3C175405F83}"/>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7" name="Shape 14">
          <a:extLst>
            <a:ext uri="{FF2B5EF4-FFF2-40B4-BE49-F238E27FC236}">
              <a16:creationId xmlns:a16="http://schemas.microsoft.com/office/drawing/2014/main" id="{0111F069-02F5-4B21-BD88-CAEDA7B274E4}"/>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8" name="Shape 10">
          <a:extLst>
            <a:ext uri="{FF2B5EF4-FFF2-40B4-BE49-F238E27FC236}">
              <a16:creationId xmlns:a16="http://schemas.microsoft.com/office/drawing/2014/main" id="{1E93D557-06ED-4229-A407-F19700800B67}"/>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9" name="Shape 12">
          <a:extLst>
            <a:ext uri="{FF2B5EF4-FFF2-40B4-BE49-F238E27FC236}">
              <a16:creationId xmlns:a16="http://schemas.microsoft.com/office/drawing/2014/main" id="{94909C92-96BD-46AF-A478-C2F1640EF912}"/>
            </a:ext>
          </a:extLst>
        </xdr:cNvPr>
        <xdr:cNvSpPr txBox="1"/>
      </xdr:nvSpPr>
      <xdr:spPr>
        <a:xfrm>
          <a:off x="0" y="179736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0" name="Shape 11">
          <a:extLst>
            <a:ext uri="{FF2B5EF4-FFF2-40B4-BE49-F238E27FC236}">
              <a16:creationId xmlns:a16="http://schemas.microsoft.com/office/drawing/2014/main" id="{13F3CC5B-6120-4C71-BB6A-39583534A68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1" name="Shape 10">
          <a:extLst>
            <a:ext uri="{FF2B5EF4-FFF2-40B4-BE49-F238E27FC236}">
              <a16:creationId xmlns:a16="http://schemas.microsoft.com/office/drawing/2014/main" id="{7CE30A90-A711-44BC-93BA-0E20CB458E9D}"/>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2" name="Shape 11">
          <a:extLst>
            <a:ext uri="{FF2B5EF4-FFF2-40B4-BE49-F238E27FC236}">
              <a16:creationId xmlns:a16="http://schemas.microsoft.com/office/drawing/2014/main" id="{5D5D9484-9013-4C92-852F-AF6C5102EFA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3" name="Shape 11">
          <a:extLst>
            <a:ext uri="{FF2B5EF4-FFF2-40B4-BE49-F238E27FC236}">
              <a16:creationId xmlns:a16="http://schemas.microsoft.com/office/drawing/2014/main" id="{628C6B76-C758-4C97-8BBD-12A2E851FC9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4" name="Shape 11">
          <a:extLst>
            <a:ext uri="{FF2B5EF4-FFF2-40B4-BE49-F238E27FC236}">
              <a16:creationId xmlns:a16="http://schemas.microsoft.com/office/drawing/2014/main" id="{5C692C39-A194-4E87-A322-9BBC56AA259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5" name="Shape 11">
          <a:extLst>
            <a:ext uri="{FF2B5EF4-FFF2-40B4-BE49-F238E27FC236}">
              <a16:creationId xmlns:a16="http://schemas.microsoft.com/office/drawing/2014/main" id="{3C6F4E0F-B822-4561-B613-E8F38763852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6" name="Shape 11">
          <a:extLst>
            <a:ext uri="{FF2B5EF4-FFF2-40B4-BE49-F238E27FC236}">
              <a16:creationId xmlns:a16="http://schemas.microsoft.com/office/drawing/2014/main" id="{292526D0-1F63-4FBA-B44D-9A8522261FC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7" name="Shape 10">
          <a:extLst>
            <a:ext uri="{FF2B5EF4-FFF2-40B4-BE49-F238E27FC236}">
              <a16:creationId xmlns:a16="http://schemas.microsoft.com/office/drawing/2014/main" id="{4666366C-E968-454E-9D27-052BA6CCC6FC}"/>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8" name="Shape 11">
          <a:extLst>
            <a:ext uri="{FF2B5EF4-FFF2-40B4-BE49-F238E27FC236}">
              <a16:creationId xmlns:a16="http://schemas.microsoft.com/office/drawing/2014/main" id="{F2D089FD-52EF-4E7C-98B9-9A75580423E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9" name="Shape 11">
          <a:extLst>
            <a:ext uri="{FF2B5EF4-FFF2-40B4-BE49-F238E27FC236}">
              <a16:creationId xmlns:a16="http://schemas.microsoft.com/office/drawing/2014/main" id="{488B3B81-7066-47B9-974B-C7881A8D192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0" name="Shape 11">
          <a:extLst>
            <a:ext uri="{FF2B5EF4-FFF2-40B4-BE49-F238E27FC236}">
              <a16:creationId xmlns:a16="http://schemas.microsoft.com/office/drawing/2014/main" id="{7ECE51DC-B441-49CD-A2CB-2D2121D36BB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1" name="Shape 11">
          <a:extLst>
            <a:ext uri="{FF2B5EF4-FFF2-40B4-BE49-F238E27FC236}">
              <a16:creationId xmlns:a16="http://schemas.microsoft.com/office/drawing/2014/main" id="{F9EAD977-8727-4890-8AD0-76911B27A40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2" name="Shape 11">
          <a:extLst>
            <a:ext uri="{FF2B5EF4-FFF2-40B4-BE49-F238E27FC236}">
              <a16:creationId xmlns:a16="http://schemas.microsoft.com/office/drawing/2014/main" id="{06D93CB7-8949-4B7F-A473-CF56A00F5FB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3" name="Shape 10">
          <a:extLst>
            <a:ext uri="{FF2B5EF4-FFF2-40B4-BE49-F238E27FC236}">
              <a16:creationId xmlns:a16="http://schemas.microsoft.com/office/drawing/2014/main" id="{99532291-EACB-4723-A150-C1A10FD4F66D}"/>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4" name="Shape 11">
          <a:extLst>
            <a:ext uri="{FF2B5EF4-FFF2-40B4-BE49-F238E27FC236}">
              <a16:creationId xmlns:a16="http://schemas.microsoft.com/office/drawing/2014/main" id="{158783FE-A696-4043-B407-E476AA08E07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5" name="Shape 11">
          <a:extLst>
            <a:ext uri="{FF2B5EF4-FFF2-40B4-BE49-F238E27FC236}">
              <a16:creationId xmlns:a16="http://schemas.microsoft.com/office/drawing/2014/main" id="{B88EEDCF-F0B7-4EF8-88E1-FBD22DDC966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6" name="Shape 11">
          <a:extLst>
            <a:ext uri="{FF2B5EF4-FFF2-40B4-BE49-F238E27FC236}">
              <a16:creationId xmlns:a16="http://schemas.microsoft.com/office/drawing/2014/main" id="{84B4BD16-2BF1-4FEC-8D95-E4F6E3291E2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7" name="Shape 11">
          <a:extLst>
            <a:ext uri="{FF2B5EF4-FFF2-40B4-BE49-F238E27FC236}">
              <a16:creationId xmlns:a16="http://schemas.microsoft.com/office/drawing/2014/main" id="{E817A6C9-FD3C-413A-B20C-5048215872B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8" name="Shape 11">
          <a:extLst>
            <a:ext uri="{FF2B5EF4-FFF2-40B4-BE49-F238E27FC236}">
              <a16:creationId xmlns:a16="http://schemas.microsoft.com/office/drawing/2014/main" id="{B8ACF4EB-F0B5-4A98-8EAD-C1C1EA6621C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9" name="Shape 10">
          <a:extLst>
            <a:ext uri="{FF2B5EF4-FFF2-40B4-BE49-F238E27FC236}">
              <a16:creationId xmlns:a16="http://schemas.microsoft.com/office/drawing/2014/main" id="{12AD1352-BBD1-48AD-80E9-CA2047B7B162}"/>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0" name="Shape 11">
          <a:extLst>
            <a:ext uri="{FF2B5EF4-FFF2-40B4-BE49-F238E27FC236}">
              <a16:creationId xmlns:a16="http://schemas.microsoft.com/office/drawing/2014/main" id="{4FC5234E-4C83-4F8F-B43B-6CE17D5E74B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1" name="Shape 11">
          <a:extLst>
            <a:ext uri="{FF2B5EF4-FFF2-40B4-BE49-F238E27FC236}">
              <a16:creationId xmlns:a16="http://schemas.microsoft.com/office/drawing/2014/main" id="{442B2B00-28E0-42CD-9EF3-4981E6A96FF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2" name="Shape 11">
          <a:extLst>
            <a:ext uri="{FF2B5EF4-FFF2-40B4-BE49-F238E27FC236}">
              <a16:creationId xmlns:a16="http://schemas.microsoft.com/office/drawing/2014/main" id="{891B6985-79D5-4547-BFE7-0B1567E47BE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3" name="Shape 11">
          <a:extLst>
            <a:ext uri="{FF2B5EF4-FFF2-40B4-BE49-F238E27FC236}">
              <a16:creationId xmlns:a16="http://schemas.microsoft.com/office/drawing/2014/main" id="{4447C667-72AB-4BE5-815D-D0976C84881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4" name="Shape 11">
          <a:extLst>
            <a:ext uri="{FF2B5EF4-FFF2-40B4-BE49-F238E27FC236}">
              <a16:creationId xmlns:a16="http://schemas.microsoft.com/office/drawing/2014/main" id="{56B558D7-A632-4D08-927F-0F9E74133F4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85" name="Shape 10">
          <a:extLst>
            <a:ext uri="{FF2B5EF4-FFF2-40B4-BE49-F238E27FC236}">
              <a16:creationId xmlns:a16="http://schemas.microsoft.com/office/drawing/2014/main" id="{D6149BB7-9AB9-4B8F-86FD-FFB18EBAC82E}"/>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6" name="Shape 11">
          <a:extLst>
            <a:ext uri="{FF2B5EF4-FFF2-40B4-BE49-F238E27FC236}">
              <a16:creationId xmlns:a16="http://schemas.microsoft.com/office/drawing/2014/main" id="{FD393867-29B2-4AF8-82F7-4984DFE3AD7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7" name="Shape 11">
          <a:extLst>
            <a:ext uri="{FF2B5EF4-FFF2-40B4-BE49-F238E27FC236}">
              <a16:creationId xmlns:a16="http://schemas.microsoft.com/office/drawing/2014/main" id="{3F246E11-9B5F-4296-90D7-442E02EDDBE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8" name="Shape 11">
          <a:extLst>
            <a:ext uri="{FF2B5EF4-FFF2-40B4-BE49-F238E27FC236}">
              <a16:creationId xmlns:a16="http://schemas.microsoft.com/office/drawing/2014/main" id="{F0B10ACF-71BF-463E-AC5C-491152C69AD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9" name="Shape 11">
          <a:extLst>
            <a:ext uri="{FF2B5EF4-FFF2-40B4-BE49-F238E27FC236}">
              <a16:creationId xmlns:a16="http://schemas.microsoft.com/office/drawing/2014/main" id="{DCF6E8E2-4277-4EC8-A72A-247722C6E1F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0" name="Shape 11">
          <a:extLst>
            <a:ext uri="{FF2B5EF4-FFF2-40B4-BE49-F238E27FC236}">
              <a16:creationId xmlns:a16="http://schemas.microsoft.com/office/drawing/2014/main" id="{0F16FD8E-C767-4E72-9EAC-74A0A8C90A7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1" name="Shape 10">
          <a:extLst>
            <a:ext uri="{FF2B5EF4-FFF2-40B4-BE49-F238E27FC236}">
              <a16:creationId xmlns:a16="http://schemas.microsoft.com/office/drawing/2014/main" id="{66881F20-7F64-47FB-BFE8-F2FA0BB36B95}"/>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2" name="Shape 11">
          <a:extLst>
            <a:ext uri="{FF2B5EF4-FFF2-40B4-BE49-F238E27FC236}">
              <a16:creationId xmlns:a16="http://schemas.microsoft.com/office/drawing/2014/main" id="{6293D5FA-E7AD-4EB4-83EA-DA4CE6B91BA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3" name="Shape 11">
          <a:extLst>
            <a:ext uri="{FF2B5EF4-FFF2-40B4-BE49-F238E27FC236}">
              <a16:creationId xmlns:a16="http://schemas.microsoft.com/office/drawing/2014/main" id="{D8850549-3D53-415F-AFA5-4151B0C7EDA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4" name="Shape 11">
          <a:extLst>
            <a:ext uri="{FF2B5EF4-FFF2-40B4-BE49-F238E27FC236}">
              <a16:creationId xmlns:a16="http://schemas.microsoft.com/office/drawing/2014/main" id="{FEA1DB63-8B64-427A-9F26-A1BF28EB04E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5" name="Shape 11">
          <a:extLst>
            <a:ext uri="{FF2B5EF4-FFF2-40B4-BE49-F238E27FC236}">
              <a16:creationId xmlns:a16="http://schemas.microsoft.com/office/drawing/2014/main" id="{7B3AE13A-9D5A-417A-BECC-2DAD8C2A3C4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6" name="Shape 11">
          <a:extLst>
            <a:ext uri="{FF2B5EF4-FFF2-40B4-BE49-F238E27FC236}">
              <a16:creationId xmlns:a16="http://schemas.microsoft.com/office/drawing/2014/main" id="{4B040DE7-D5DB-4528-AF96-AD3DDFAB64F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7" name="Shape 10">
          <a:extLst>
            <a:ext uri="{FF2B5EF4-FFF2-40B4-BE49-F238E27FC236}">
              <a16:creationId xmlns:a16="http://schemas.microsoft.com/office/drawing/2014/main" id="{7FB4739D-C0B1-4EF4-A515-D678873BA775}"/>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8" name="Shape 11">
          <a:extLst>
            <a:ext uri="{FF2B5EF4-FFF2-40B4-BE49-F238E27FC236}">
              <a16:creationId xmlns:a16="http://schemas.microsoft.com/office/drawing/2014/main" id="{8C29F897-B85C-4DEB-B08C-FEDCA1CC47B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9" name="Shape 13">
          <a:extLst>
            <a:ext uri="{FF2B5EF4-FFF2-40B4-BE49-F238E27FC236}">
              <a16:creationId xmlns:a16="http://schemas.microsoft.com/office/drawing/2014/main" id="{34C546F6-E1C7-4120-A04D-E63BFA400357}"/>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0" name="Shape 14">
          <a:extLst>
            <a:ext uri="{FF2B5EF4-FFF2-40B4-BE49-F238E27FC236}">
              <a16:creationId xmlns:a16="http://schemas.microsoft.com/office/drawing/2014/main" id="{D34CA8DA-EBD2-4C86-BFAF-BE189F079AD9}"/>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1" name="Shape 10">
          <a:extLst>
            <a:ext uri="{FF2B5EF4-FFF2-40B4-BE49-F238E27FC236}">
              <a16:creationId xmlns:a16="http://schemas.microsoft.com/office/drawing/2014/main" id="{17DA4B85-CE97-4272-82F5-987F2A81E710}"/>
            </a:ext>
          </a:extLst>
        </xdr:cNvPr>
        <xdr:cNvSpPr txBox="1"/>
      </xdr:nvSpPr>
      <xdr:spPr>
        <a:xfrm>
          <a:off x="4124325" y="270414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2" name="Shape 14">
          <a:extLst>
            <a:ext uri="{FF2B5EF4-FFF2-40B4-BE49-F238E27FC236}">
              <a16:creationId xmlns:a16="http://schemas.microsoft.com/office/drawing/2014/main" id="{86DAF470-C2AB-42CC-A47F-A528BB75B13C}"/>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3" name="Shape 11">
          <a:extLst>
            <a:ext uri="{FF2B5EF4-FFF2-40B4-BE49-F238E27FC236}">
              <a16:creationId xmlns:a16="http://schemas.microsoft.com/office/drawing/2014/main" id="{3264CCBA-618A-4C0C-8AD8-C103145B027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4" name="Shape 10">
          <a:extLst>
            <a:ext uri="{FF2B5EF4-FFF2-40B4-BE49-F238E27FC236}">
              <a16:creationId xmlns:a16="http://schemas.microsoft.com/office/drawing/2014/main" id="{E3396FA7-6753-4EA4-9D7A-04935CF78D58}"/>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5" name="Shape 11">
          <a:extLst>
            <a:ext uri="{FF2B5EF4-FFF2-40B4-BE49-F238E27FC236}">
              <a16:creationId xmlns:a16="http://schemas.microsoft.com/office/drawing/2014/main" id="{AA41E11B-CE38-4977-A1CE-32AE8163C7C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6" name="Shape 11">
          <a:extLst>
            <a:ext uri="{FF2B5EF4-FFF2-40B4-BE49-F238E27FC236}">
              <a16:creationId xmlns:a16="http://schemas.microsoft.com/office/drawing/2014/main" id="{4008EAFB-56AD-4F10-A718-1E14489175E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7" name="Shape 11">
          <a:extLst>
            <a:ext uri="{FF2B5EF4-FFF2-40B4-BE49-F238E27FC236}">
              <a16:creationId xmlns:a16="http://schemas.microsoft.com/office/drawing/2014/main" id="{342D5B73-F777-4EF3-83FA-6638D22E7A4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8" name="Shape 11">
          <a:extLst>
            <a:ext uri="{FF2B5EF4-FFF2-40B4-BE49-F238E27FC236}">
              <a16:creationId xmlns:a16="http://schemas.microsoft.com/office/drawing/2014/main" id="{7B0F006B-B816-49AB-BF73-72ECB5B2491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9" name="Shape 11">
          <a:extLst>
            <a:ext uri="{FF2B5EF4-FFF2-40B4-BE49-F238E27FC236}">
              <a16:creationId xmlns:a16="http://schemas.microsoft.com/office/drawing/2014/main" id="{B31052DE-6965-4234-8BAE-EFF03822940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0" name="Shape 10">
          <a:extLst>
            <a:ext uri="{FF2B5EF4-FFF2-40B4-BE49-F238E27FC236}">
              <a16:creationId xmlns:a16="http://schemas.microsoft.com/office/drawing/2014/main" id="{6249F8D0-8223-4E9A-A1F2-33EF56CEDA7E}"/>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1" name="Shape 11">
          <a:extLst>
            <a:ext uri="{FF2B5EF4-FFF2-40B4-BE49-F238E27FC236}">
              <a16:creationId xmlns:a16="http://schemas.microsoft.com/office/drawing/2014/main" id="{EBC9865E-B18E-4BDF-A17A-D13E2255DC5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2" name="Shape 11">
          <a:extLst>
            <a:ext uri="{FF2B5EF4-FFF2-40B4-BE49-F238E27FC236}">
              <a16:creationId xmlns:a16="http://schemas.microsoft.com/office/drawing/2014/main" id="{F5B58EFD-A9C5-4784-BCF1-F0838B4008A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3" name="Shape 11">
          <a:extLst>
            <a:ext uri="{FF2B5EF4-FFF2-40B4-BE49-F238E27FC236}">
              <a16:creationId xmlns:a16="http://schemas.microsoft.com/office/drawing/2014/main" id="{DE91F501-85ED-4F9F-B4E4-FA763A294FF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4" name="Shape 11">
          <a:extLst>
            <a:ext uri="{FF2B5EF4-FFF2-40B4-BE49-F238E27FC236}">
              <a16:creationId xmlns:a16="http://schemas.microsoft.com/office/drawing/2014/main" id="{59C31B45-8EEE-4BEC-8FC4-304E545189B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5" name="Shape 11">
          <a:extLst>
            <a:ext uri="{FF2B5EF4-FFF2-40B4-BE49-F238E27FC236}">
              <a16:creationId xmlns:a16="http://schemas.microsoft.com/office/drawing/2014/main" id="{B032F591-8567-40C9-8FA5-B68E857AADA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6" name="Shape 10">
          <a:extLst>
            <a:ext uri="{FF2B5EF4-FFF2-40B4-BE49-F238E27FC236}">
              <a16:creationId xmlns:a16="http://schemas.microsoft.com/office/drawing/2014/main" id="{E9C49A27-46B7-43C3-8FD3-BA630648BF67}"/>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7" name="Shape 11">
          <a:extLst>
            <a:ext uri="{FF2B5EF4-FFF2-40B4-BE49-F238E27FC236}">
              <a16:creationId xmlns:a16="http://schemas.microsoft.com/office/drawing/2014/main" id="{A1693B85-DB81-40D1-BDDB-0A65F6E60E6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8" name="Shape 11">
          <a:extLst>
            <a:ext uri="{FF2B5EF4-FFF2-40B4-BE49-F238E27FC236}">
              <a16:creationId xmlns:a16="http://schemas.microsoft.com/office/drawing/2014/main" id="{554EDE4A-9951-44CD-92DA-D06761A3AB0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9" name="Shape 11">
          <a:extLst>
            <a:ext uri="{FF2B5EF4-FFF2-40B4-BE49-F238E27FC236}">
              <a16:creationId xmlns:a16="http://schemas.microsoft.com/office/drawing/2014/main" id="{93088E54-1881-4B6E-BB6B-41B802A600A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0" name="Shape 11">
          <a:extLst>
            <a:ext uri="{FF2B5EF4-FFF2-40B4-BE49-F238E27FC236}">
              <a16:creationId xmlns:a16="http://schemas.microsoft.com/office/drawing/2014/main" id="{B52A73D1-CCE3-4110-A0C3-AD411440C1B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1" name="Shape 11">
          <a:extLst>
            <a:ext uri="{FF2B5EF4-FFF2-40B4-BE49-F238E27FC236}">
              <a16:creationId xmlns:a16="http://schemas.microsoft.com/office/drawing/2014/main" id="{7BA67DCC-6678-4714-9517-2E50EA65404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2" name="Shape 10">
          <a:extLst>
            <a:ext uri="{FF2B5EF4-FFF2-40B4-BE49-F238E27FC236}">
              <a16:creationId xmlns:a16="http://schemas.microsoft.com/office/drawing/2014/main" id="{0DB1B1B0-76A5-4A15-9AE0-40D9F22E2BE4}"/>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3" name="Shape 11">
          <a:extLst>
            <a:ext uri="{FF2B5EF4-FFF2-40B4-BE49-F238E27FC236}">
              <a16:creationId xmlns:a16="http://schemas.microsoft.com/office/drawing/2014/main" id="{48114E2B-42BD-4BB0-93CE-FF4F5E62F81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4" name="Shape 11">
          <a:extLst>
            <a:ext uri="{FF2B5EF4-FFF2-40B4-BE49-F238E27FC236}">
              <a16:creationId xmlns:a16="http://schemas.microsoft.com/office/drawing/2014/main" id="{BD8EFC11-D4B6-4AB4-86BB-3B4F4D9BE00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5" name="Shape 11">
          <a:extLst>
            <a:ext uri="{FF2B5EF4-FFF2-40B4-BE49-F238E27FC236}">
              <a16:creationId xmlns:a16="http://schemas.microsoft.com/office/drawing/2014/main" id="{3814DD7F-DC77-4D11-907B-4E76DC5ECC4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6" name="Shape 11">
          <a:extLst>
            <a:ext uri="{FF2B5EF4-FFF2-40B4-BE49-F238E27FC236}">
              <a16:creationId xmlns:a16="http://schemas.microsoft.com/office/drawing/2014/main" id="{E470D92A-D531-4DE0-BF2F-9ACCD2EFF76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7" name="Shape 11">
          <a:extLst>
            <a:ext uri="{FF2B5EF4-FFF2-40B4-BE49-F238E27FC236}">
              <a16:creationId xmlns:a16="http://schemas.microsoft.com/office/drawing/2014/main" id="{617B9FBA-4F7A-4885-8EBD-C033444EE99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8" name="Shape 10">
          <a:extLst>
            <a:ext uri="{FF2B5EF4-FFF2-40B4-BE49-F238E27FC236}">
              <a16:creationId xmlns:a16="http://schemas.microsoft.com/office/drawing/2014/main" id="{C8C80420-1175-428C-8F69-44961B5243FA}"/>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9" name="Shape 11">
          <a:extLst>
            <a:ext uri="{FF2B5EF4-FFF2-40B4-BE49-F238E27FC236}">
              <a16:creationId xmlns:a16="http://schemas.microsoft.com/office/drawing/2014/main" id="{248EC85F-6EF8-4807-AAD2-56994FA657F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0" name="Shape 11">
          <a:extLst>
            <a:ext uri="{FF2B5EF4-FFF2-40B4-BE49-F238E27FC236}">
              <a16:creationId xmlns:a16="http://schemas.microsoft.com/office/drawing/2014/main" id="{B8C3CCBE-FA1E-4138-AEFA-FC3CF1A3335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1" name="Shape 11">
          <a:extLst>
            <a:ext uri="{FF2B5EF4-FFF2-40B4-BE49-F238E27FC236}">
              <a16:creationId xmlns:a16="http://schemas.microsoft.com/office/drawing/2014/main" id="{3D67FABD-C4A2-4102-B35E-5116957855A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2" name="Shape 11">
          <a:extLst>
            <a:ext uri="{FF2B5EF4-FFF2-40B4-BE49-F238E27FC236}">
              <a16:creationId xmlns:a16="http://schemas.microsoft.com/office/drawing/2014/main" id="{95153FF3-4C49-4470-90F5-FF80CAAEA3A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3" name="Shape 11">
          <a:extLst>
            <a:ext uri="{FF2B5EF4-FFF2-40B4-BE49-F238E27FC236}">
              <a16:creationId xmlns:a16="http://schemas.microsoft.com/office/drawing/2014/main" id="{0FCE046A-B003-4463-87B3-C8D812BF332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34" name="Shape 10">
          <a:extLst>
            <a:ext uri="{FF2B5EF4-FFF2-40B4-BE49-F238E27FC236}">
              <a16:creationId xmlns:a16="http://schemas.microsoft.com/office/drawing/2014/main" id="{BFC50BE2-E197-478B-854A-2EFAA4C9BDBC}"/>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5" name="Shape 11">
          <a:extLst>
            <a:ext uri="{FF2B5EF4-FFF2-40B4-BE49-F238E27FC236}">
              <a16:creationId xmlns:a16="http://schemas.microsoft.com/office/drawing/2014/main" id="{6F73DF03-1325-4C11-BEEE-53C05C017BA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6" name="Shape 11">
          <a:extLst>
            <a:ext uri="{FF2B5EF4-FFF2-40B4-BE49-F238E27FC236}">
              <a16:creationId xmlns:a16="http://schemas.microsoft.com/office/drawing/2014/main" id="{91C6047A-D616-47C3-9232-F7C3C4428AB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7" name="Shape 11">
          <a:extLst>
            <a:ext uri="{FF2B5EF4-FFF2-40B4-BE49-F238E27FC236}">
              <a16:creationId xmlns:a16="http://schemas.microsoft.com/office/drawing/2014/main" id="{11DDF523-1B74-4047-9779-57134A9A3EF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8" name="Shape 11">
          <a:extLst>
            <a:ext uri="{FF2B5EF4-FFF2-40B4-BE49-F238E27FC236}">
              <a16:creationId xmlns:a16="http://schemas.microsoft.com/office/drawing/2014/main" id="{F6D566A7-0AE6-402C-A578-9E293008A1E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9" name="Shape 11">
          <a:extLst>
            <a:ext uri="{FF2B5EF4-FFF2-40B4-BE49-F238E27FC236}">
              <a16:creationId xmlns:a16="http://schemas.microsoft.com/office/drawing/2014/main" id="{5BCCDE63-DE50-402E-BA36-566265E1A5E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0" name="Shape 10">
          <a:extLst>
            <a:ext uri="{FF2B5EF4-FFF2-40B4-BE49-F238E27FC236}">
              <a16:creationId xmlns:a16="http://schemas.microsoft.com/office/drawing/2014/main" id="{940FB623-7314-4054-8327-4C980F387BCC}"/>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1" name="Shape 11">
          <a:extLst>
            <a:ext uri="{FF2B5EF4-FFF2-40B4-BE49-F238E27FC236}">
              <a16:creationId xmlns:a16="http://schemas.microsoft.com/office/drawing/2014/main" id="{F500690F-92FF-4A17-A945-F8B37235EA8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2" name="Shape 13">
          <a:extLst>
            <a:ext uri="{FF2B5EF4-FFF2-40B4-BE49-F238E27FC236}">
              <a16:creationId xmlns:a16="http://schemas.microsoft.com/office/drawing/2014/main" id="{B0A99EC6-54EA-474C-9A93-7623C713BC72}"/>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3" name="Shape 14">
          <a:extLst>
            <a:ext uri="{FF2B5EF4-FFF2-40B4-BE49-F238E27FC236}">
              <a16:creationId xmlns:a16="http://schemas.microsoft.com/office/drawing/2014/main" id="{514E61D3-7096-49B6-A31D-C7A9A05C4EE1}"/>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4" name="Shape 10">
          <a:extLst>
            <a:ext uri="{FF2B5EF4-FFF2-40B4-BE49-F238E27FC236}">
              <a16:creationId xmlns:a16="http://schemas.microsoft.com/office/drawing/2014/main" id="{2A6ADC60-77F4-4CFA-B9CE-A71CA9122F4B}"/>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5" name="Shape 12">
          <a:extLst>
            <a:ext uri="{FF2B5EF4-FFF2-40B4-BE49-F238E27FC236}">
              <a16:creationId xmlns:a16="http://schemas.microsoft.com/office/drawing/2014/main" id="{F54DFA87-234A-4084-BAEF-D3B0F3812E98}"/>
            </a:ext>
          </a:extLst>
        </xdr:cNvPr>
        <xdr:cNvSpPr txBox="1"/>
      </xdr:nvSpPr>
      <xdr:spPr>
        <a:xfrm>
          <a:off x="0" y="268795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6" name="Shape 11">
          <a:extLst>
            <a:ext uri="{FF2B5EF4-FFF2-40B4-BE49-F238E27FC236}">
              <a16:creationId xmlns:a16="http://schemas.microsoft.com/office/drawing/2014/main" id="{EE90EC77-BBDB-45D6-B728-2B932DBF23F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7" name="Shape 10">
          <a:extLst>
            <a:ext uri="{FF2B5EF4-FFF2-40B4-BE49-F238E27FC236}">
              <a16:creationId xmlns:a16="http://schemas.microsoft.com/office/drawing/2014/main" id="{47850D0A-40E2-4DAB-950E-D417762D9675}"/>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8" name="Shape 11">
          <a:extLst>
            <a:ext uri="{FF2B5EF4-FFF2-40B4-BE49-F238E27FC236}">
              <a16:creationId xmlns:a16="http://schemas.microsoft.com/office/drawing/2014/main" id="{24F239F5-4D9D-4E6A-9934-0313AC7CCF7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9" name="Shape 11">
          <a:extLst>
            <a:ext uri="{FF2B5EF4-FFF2-40B4-BE49-F238E27FC236}">
              <a16:creationId xmlns:a16="http://schemas.microsoft.com/office/drawing/2014/main" id="{211AFCA0-1626-4459-830F-42EE3B9C66B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0" name="Shape 11">
          <a:extLst>
            <a:ext uri="{FF2B5EF4-FFF2-40B4-BE49-F238E27FC236}">
              <a16:creationId xmlns:a16="http://schemas.microsoft.com/office/drawing/2014/main" id="{F636611C-7C6E-40F9-A378-3FD4F42CB3B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1" name="Shape 11">
          <a:extLst>
            <a:ext uri="{FF2B5EF4-FFF2-40B4-BE49-F238E27FC236}">
              <a16:creationId xmlns:a16="http://schemas.microsoft.com/office/drawing/2014/main" id="{133C2450-EBA6-4A5C-9C5D-CC805C8BCA6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2" name="Shape 11">
          <a:extLst>
            <a:ext uri="{FF2B5EF4-FFF2-40B4-BE49-F238E27FC236}">
              <a16:creationId xmlns:a16="http://schemas.microsoft.com/office/drawing/2014/main" id="{C9C786C9-A52E-4097-8425-D574832853B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3" name="Shape 10">
          <a:extLst>
            <a:ext uri="{FF2B5EF4-FFF2-40B4-BE49-F238E27FC236}">
              <a16:creationId xmlns:a16="http://schemas.microsoft.com/office/drawing/2014/main" id="{B772B560-B2B4-4844-AE89-D8C66C8845DB}"/>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4" name="Shape 11">
          <a:extLst>
            <a:ext uri="{FF2B5EF4-FFF2-40B4-BE49-F238E27FC236}">
              <a16:creationId xmlns:a16="http://schemas.microsoft.com/office/drawing/2014/main" id="{48C00250-AC4F-4DD4-B014-051FF1D7761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5" name="Shape 11">
          <a:extLst>
            <a:ext uri="{FF2B5EF4-FFF2-40B4-BE49-F238E27FC236}">
              <a16:creationId xmlns:a16="http://schemas.microsoft.com/office/drawing/2014/main" id="{2EAABE6A-1CDB-4AE9-A90D-B8963E68015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6" name="Shape 11">
          <a:extLst>
            <a:ext uri="{FF2B5EF4-FFF2-40B4-BE49-F238E27FC236}">
              <a16:creationId xmlns:a16="http://schemas.microsoft.com/office/drawing/2014/main" id="{CB22D4CD-0AA1-4FF9-AF62-F4ED3C02793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7" name="Shape 11">
          <a:extLst>
            <a:ext uri="{FF2B5EF4-FFF2-40B4-BE49-F238E27FC236}">
              <a16:creationId xmlns:a16="http://schemas.microsoft.com/office/drawing/2014/main" id="{68515133-DAA5-4081-9B24-94B988F94E4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8" name="Shape 11">
          <a:extLst>
            <a:ext uri="{FF2B5EF4-FFF2-40B4-BE49-F238E27FC236}">
              <a16:creationId xmlns:a16="http://schemas.microsoft.com/office/drawing/2014/main" id="{F926A463-9A31-428D-929E-E0377AC97AB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9" name="Shape 10">
          <a:extLst>
            <a:ext uri="{FF2B5EF4-FFF2-40B4-BE49-F238E27FC236}">
              <a16:creationId xmlns:a16="http://schemas.microsoft.com/office/drawing/2014/main" id="{064B4D79-5CDB-482D-9FED-447EC73F2A1A}"/>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0" name="Shape 11">
          <a:extLst>
            <a:ext uri="{FF2B5EF4-FFF2-40B4-BE49-F238E27FC236}">
              <a16:creationId xmlns:a16="http://schemas.microsoft.com/office/drawing/2014/main" id="{26167912-9DB0-417E-9347-F1666425308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1" name="Shape 11">
          <a:extLst>
            <a:ext uri="{FF2B5EF4-FFF2-40B4-BE49-F238E27FC236}">
              <a16:creationId xmlns:a16="http://schemas.microsoft.com/office/drawing/2014/main" id="{90C3F026-BAF1-4BD3-8219-582952CE0D3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2" name="Shape 11">
          <a:extLst>
            <a:ext uri="{FF2B5EF4-FFF2-40B4-BE49-F238E27FC236}">
              <a16:creationId xmlns:a16="http://schemas.microsoft.com/office/drawing/2014/main" id="{B6A8CBB8-280B-47A6-9999-922DB3E16D2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3" name="Shape 11">
          <a:extLst>
            <a:ext uri="{FF2B5EF4-FFF2-40B4-BE49-F238E27FC236}">
              <a16:creationId xmlns:a16="http://schemas.microsoft.com/office/drawing/2014/main" id="{573F4C71-3BC4-497B-8DC6-84A9A7E765F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4" name="Shape 11">
          <a:extLst>
            <a:ext uri="{FF2B5EF4-FFF2-40B4-BE49-F238E27FC236}">
              <a16:creationId xmlns:a16="http://schemas.microsoft.com/office/drawing/2014/main" id="{088D642B-3C8E-42C1-A4BC-9635BCB4AF3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65" name="Shape 10">
          <a:extLst>
            <a:ext uri="{FF2B5EF4-FFF2-40B4-BE49-F238E27FC236}">
              <a16:creationId xmlns:a16="http://schemas.microsoft.com/office/drawing/2014/main" id="{E6537F5D-0179-4F9C-949E-64730C23C824}"/>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6" name="Shape 11">
          <a:extLst>
            <a:ext uri="{FF2B5EF4-FFF2-40B4-BE49-F238E27FC236}">
              <a16:creationId xmlns:a16="http://schemas.microsoft.com/office/drawing/2014/main" id="{57C4103C-9A67-4E2C-8158-8B163E7E68D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7" name="Shape 11">
          <a:extLst>
            <a:ext uri="{FF2B5EF4-FFF2-40B4-BE49-F238E27FC236}">
              <a16:creationId xmlns:a16="http://schemas.microsoft.com/office/drawing/2014/main" id="{93079BA1-7B57-455A-8B2E-486E8A005156}"/>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8" name="Shape 11">
          <a:extLst>
            <a:ext uri="{FF2B5EF4-FFF2-40B4-BE49-F238E27FC236}">
              <a16:creationId xmlns:a16="http://schemas.microsoft.com/office/drawing/2014/main" id="{615681BC-ABF3-4395-A4ED-9764FC73E99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9" name="Shape 11">
          <a:extLst>
            <a:ext uri="{FF2B5EF4-FFF2-40B4-BE49-F238E27FC236}">
              <a16:creationId xmlns:a16="http://schemas.microsoft.com/office/drawing/2014/main" id="{F6948C95-EA15-451E-8B8F-F7DD2555F88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0" name="Shape 11">
          <a:extLst>
            <a:ext uri="{FF2B5EF4-FFF2-40B4-BE49-F238E27FC236}">
              <a16:creationId xmlns:a16="http://schemas.microsoft.com/office/drawing/2014/main" id="{16C24D28-5283-4DE2-AB0B-4CFBCECC407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1" name="Shape 10">
          <a:extLst>
            <a:ext uri="{FF2B5EF4-FFF2-40B4-BE49-F238E27FC236}">
              <a16:creationId xmlns:a16="http://schemas.microsoft.com/office/drawing/2014/main" id="{89691317-61C4-4D18-9CA9-F1F5ABFB3DC7}"/>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2" name="Shape 11">
          <a:extLst>
            <a:ext uri="{FF2B5EF4-FFF2-40B4-BE49-F238E27FC236}">
              <a16:creationId xmlns:a16="http://schemas.microsoft.com/office/drawing/2014/main" id="{B4CAB0D2-5D8A-4E16-B032-66FE4336950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3" name="Shape 11">
          <a:extLst>
            <a:ext uri="{FF2B5EF4-FFF2-40B4-BE49-F238E27FC236}">
              <a16:creationId xmlns:a16="http://schemas.microsoft.com/office/drawing/2014/main" id="{D2191700-25B0-440C-922E-A3F7D53C558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4" name="Shape 11">
          <a:extLst>
            <a:ext uri="{FF2B5EF4-FFF2-40B4-BE49-F238E27FC236}">
              <a16:creationId xmlns:a16="http://schemas.microsoft.com/office/drawing/2014/main" id="{1033585E-E663-44CB-952E-5C84307C4ED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5" name="Shape 11">
          <a:extLst>
            <a:ext uri="{FF2B5EF4-FFF2-40B4-BE49-F238E27FC236}">
              <a16:creationId xmlns:a16="http://schemas.microsoft.com/office/drawing/2014/main" id="{4CD5B445-ECC0-41EF-A354-07A5BDA214A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6" name="Shape 11">
          <a:extLst>
            <a:ext uri="{FF2B5EF4-FFF2-40B4-BE49-F238E27FC236}">
              <a16:creationId xmlns:a16="http://schemas.microsoft.com/office/drawing/2014/main" id="{C20B75D7-B8DC-43A2-8BA9-FB9000FE5CD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7" name="Shape 10">
          <a:extLst>
            <a:ext uri="{FF2B5EF4-FFF2-40B4-BE49-F238E27FC236}">
              <a16:creationId xmlns:a16="http://schemas.microsoft.com/office/drawing/2014/main" id="{A550DA61-4CF3-41BE-89B6-B02369654850}"/>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8" name="Shape 11">
          <a:extLst>
            <a:ext uri="{FF2B5EF4-FFF2-40B4-BE49-F238E27FC236}">
              <a16:creationId xmlns:a16="http://schemas.microsoft.com/office/drawing/2014/main" id="{087AA01C-295C-4B65-9408-06718FEA147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9" name="Shape 11">
          <a:extLst>
            <a:ext uri="{FF2B5EF4-FFF2-40B4-BE49-F238E27FC236}">
              <a16:creationId xmlns:a16="http://schemas.microsoft.com/office/drawing/2014/main" id="{E4E4F5D7-F338-4698-AF7E-64374FD3488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0" name="Shape 11">
          <a:extLst>
            <a:ext uri="{FF2B5EF4-FFF2-40B4-BE49-F238E27FC236}">
              <a16:creationId xmlns:a16="http://schemas.microsoft.com/office/drawing/2014/main" id="{9BD0202B-30EF-4068-9D91-BB6F597C616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1" name="Shape 11">
          <a:extLst>
            <a:ext uri="{FF2B5EF4-FFF2-40B4-BE49-F238E27FC236}">
              <a16:creationId xmlns:a16="http://schemas.microsoft.com/office/drawing/2014/main" id="{BED2D17F-EEB6-4413-9D5F-7DDDC44B9F3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2" name="Shape 11">
          <a:extLst>
            <a:ext uri="{FF2B5EF4-FFF2-40B4-BE49-F238E27FC236}">
              <a16:creationId xmlns:a16="http://schemas.microsoft.com/office/drawing/2014/main" id="{1C3D270A-C275-418C-AB77-78ABEF393FE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3" name="Shape 10">
          <a:extLst>
            <a:ext uri="{FF2B5EF4-FFF2-40B4-BE49-F238E27FC236}">
              <a16:creationId xmlns:a16="http://schemas.microsoft.com/office/drawing/2014/main" id="{E378B46B-E4DB-4E56-A035-431051390108}"/>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4" name="Shape 11">
          <a:extLst>
            <a:ext uri="{FF2B5EF4-FFF2-40B4-BE49-F238E27FC236}">
              <a16:creationId xmlns:a16="http://schemas.microsoft.com/office/drawing/2014/main" id="{A6021026-9E8A-4BDB-8D46-B68E0089E0F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5" name="Shape 13">
          <a:extLst>
            <a:ext uri="{FF2B5EF4-FFF2-40B4-BE49-F238E27FC236}">
              <a16:creationId xmlns:a16="http://schemas.microsoft.com/office/drawing/2014/main" id="{25A091A6-CBD0-4A54-B26E-6CD91652CEFB}"/>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6" name="Shape 14">
          <a:extLst>
            <a:ext uri="{FF2B5EF4-FFF2-40B4-BE49-F238E27FC236}">
              <a16:creationId xmlns:a16="http://schemas.microsoft.com/office/drawing/2014/main" id="{3DC29E15-6279-4E15-A9AC-35C3484BA7B8}"/>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7" name="Shape 10">
          <a:extLst>
            <a:ext uri="{FF2B5EF4-FFF2-40B4-BE49-F238E27FC236}">
              <a16:creationId xmlns:a16="http://schemas.microsoft.com/office/drawing/2014/main" id="{B98613B5-D4E9-4963-9BD7-D308BBD1EB94}"/>
            </a:ext>
          </a:extLst>
        </xdr:cNvPr>
        <xdr:cNvSpPr txBox="1"/>
      </xdr:nvSpPr>
      <xdr:spPr>
        <a:xfrm>
          <a:off x="4124325" y="359473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8" name="Shape 14">
          <a:extLst>
            <a:ext uri="{FF2B5EF4-FFF2-40B4-BE49-F238E27FC236}">
              <a16:creationId xmlns:a16="http://schemas.microsoft.com/office/drawing/2014/main" id="{81F1F30D-CEEB-42B0-B4E7-0F037E20C368}"/>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9" name="Shape 11">
          <a:extLst>
            <a:ext uri="{FF2B5EF4-FFF2-40B4-BE49-F238E27FC236}">
              <a16:creationId xmlns:a16="http://schemas.microsoft.com/office/drawing/2014/main" id="{01E46EAC-3ED2-49A2-92CC-F3178048618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0" name="Shape 10">
          <a:extLst>
            <a:ext uri="{FF2B5EF4-FFF2-40B4-BE49-F238E27FC236}">
              <a16:creationId xmlns:a16="http://schemas.microsoft.com/office/drawing/2014/main" id="{666AAF49-4B83-4BC8-8983-79794FA8B21A}"/>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1" name="Shape 11">
          <a:extLst>
            <a:ext uri="{FF2B5EF4-FFF2-40B4-BE49-F238E27FC236}">
              <a16:creationId xmlns:a16="http://schemas.microsoft.com/office/drawing/2014/main" id="{6977A85B-E19D-4B3E-88BF-DDAF9FAD7FC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2" name="Shape 11">
          <a:extLst>
            <a:ext uri="{FF2B5EF4-FFF2-40B4-BE49-F238E27FC236}">
              <a16:creationId xmlns:a16="http://schemas.microsoft.com/office/drawing/2014/main" id="{380E9690-3BBB-47D5-9698-3A7C1B2F805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3" name="Shape 11">
          <a:extLst>
            <a:ext uri="{FF2B5EF4-FFF2-40B4-BE49-F238E27FC236}">
              <a16:creationId xmlns:a16="http://schemas.microsoft.com/office/drawing/2014/main" id="{2340DE52-3152-49EC-A170-1833775A10B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4" name="Shape 11">
          <a:extLst>
            <a:ext uri="{FF2B5EF4-FFF2-40B4-BE49-F238E27FC236}">
              <a16:creationId xmlns:a16="http://schemas.microsoft.com/office/drawing/2014/main" id="{800D627B-B3CD-4E98-A888-24C2E05DC33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5" name="Shape 11">
          <a:extLst>
            <a:ext uri="{FF2B5EF4-FFF2-40B4-BE49-F238E27FC236}">
              <a16:creationId xmlns:a16="http://schemas.microsoft.com/office/drawing/2014/main" id="{8A5D3DF0-D0E0-4643-AAF2-A3DE4BC173D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6" name="Shape 10">
          <a:extLst>
            <a:ext uri="{FF2B5EF4-FFF2-40B4-BE49-F238E27FC236}">
              <a16:creationId xmlns:a16="http://schemas.microsoft.com/office/drawing/2014/main" id="{7A6E3C31-90CF-4F87-98A8-7CBF4775839B}"/>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7" name="Shape 11">
          <a:extLst>
            <a:ext uri="{FF2B5EF4-FFF2-40B4-BE49-F238E27FC236}">
              <a16:creationId xmlns:a16="http://schemas.microsoft.com/office/drawing/2014/main" id="{061FC27C-1501-4524-92E7-9A0E5E81E92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8" name="Shape 11">
          <a:extLst>
            <a:ext uri="{FF2B5EF4-FFF2-40B4-BE49-F238E27FC236}">
              <a16:creationId xmlns:a16="http://schemas.microsoft.com/office/drawing/2014/main" id="{CA27FA5F-C6EC-4902-93E9-5DD446BC8C6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9" name="Shape 11">
          <a:extLst>
            <a:ext uri="{FF2B5EF4-FFF2-40B4-BE49-F238E27FC236}">
              <a16:creationId xmlns:a16="http://schemas.microsoft.com/office/drawing/2014/main" id="{38BAF014-238B-43C1-BE5D-23D92952BEE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0" name="Shape 11">
          <a:extLst>
            <a:ext uri="{FF2B5EF4-FFF2-40B4-BE49-F238E27FC236}">
              <a16:creationId xmlns:a16="http://schemas.microsoft.com/office/drawing/2014/main" id="{691E5885-F299-496F-B883-C2347699561B}"/>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1" name="Shape 11">
          <a:extLst>
            <a:ext uri="{FF2B5EF4-FFF2-40B4-BE49-F238E27FC236}">
              <a16:creationId xmlns:a16="http://schemas.microsoft.com/office/drawing/2014/main" id="{EC5C63A6-02E1-4504-838D-4462A3045BF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2" name="Shape 10">
          <a:extLst>
            <a:ext uri="{FF2B5EF4-FFF2-40B4-BE49-F238E27FC236}">
              <a16:creationId xmlns:a16="http://schemas.microsoft.com/office/drawing/2014/main" id="{8798FFB2-C4A9-459A-9954-D6990D83845B}"/>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3" name="Shape 11">
          <a:extLst>
            <a:ext uri="{FF2B5EF4-FFF2-40B4-BE49-F238E27FC236}">
              <a16:creationId xmlns:a16="http://schemas.microsoft.com/office/drawing/2014/main" id="{DB0964E9-6266-4890-A9E0-19CB6D6B57D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4" name="Shape 11">
          <a:extLst>
            <a:ext uri="{FF2B5EF4-FFF2-40B4-BE49-F238E27FC236}">
              <a16:creationId xmlns:a16="http://schemas.microsoft.com/office/drawing/2014/main" id="{1F3C9F03-EE3A-414A-A19C-553DD17B9C9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5" name="Shape 11">
          <a:extLst>
            <a:ext uri="{FF2B5EF4-FFF2-40B4-BE49-F238E27FC236}">
              <a16:creationId xmlns:a16="http://schemas.microsoft.com/office/drawing/2014/main" id="{8F06BBD2-2675-4C45-BD26-349746C6678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6" name="Shape 11">
          <a:extLst>
            <a:ext uri="{FF2B5EF4-FFF2-40B4-BE49-F238E27FC236}">
              <a16:creationId xmlns:a16="http://schemas.microsoft.com/office/drawing/2014/main" id="{488FCA83-7E22-4C4B-B592-ECEFA0BE78C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7" name="Shape 11">
          <a:extLst>
            <a:ext uri="{FF2B5EF4-FFF2-40B4-BE49-F238E27FC236}">
              <a16:creationId xmlns:a16="http://schemas.microsoft.com/office/drawing/2014/main" id="{09DAB9CD-DBC5-47A5-82F1-B085F6BC125B}"/>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8" name="Shape 10">
          <a:extLst>
            <a:ext uri="{FF2B5EF4-FFF2-40B4-BE49-F238E27FC236}">
              <a16:creationId xmlns:a16="http://schemas.microsoft.com/office/drawing/2014/main" id="{625D1C12-16DF-42D7-B45F-7E0AC69AAA55}"/>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9" name="Shape 11">
          <a:extLst>
            <a:ext uri="{FF2B5EF4-FFF2-40B4-BE49-F238E27FC236}">
              <a16:creationId xmlns:a16="http://schemas.microsoft.com/office/drawing/2014/main" id="{79703D98-F9D8-43E6-8B47-F231B9B00D8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0" name="Shape 11">
          <a:extLst>
            <a:ext uri="{FF2B5EF4-FFF2-40B4-BE49-F238E27FC236}">
              <a16:creationId xmlns:a16="http://schemas.microsoft.com/office/drawing/2014/main" id="{FC576D93-5A1B-4DA1-8B8F-5FA73974BA7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1" name="Shape 11">
          <a:extLst>
            <a:ext uri="{FF2B5EF4-FFF2-40B4-BE49-F238E27FC236}">
              <a16:creationId xmlns:a16="http://schemas.microsoft.com/office/drawing/2014/main" id="{636C2F0A-ADAE-4300-9DB0-1C1FE4F7621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2" name="Shape 11">
          <a:extLst>
            <a:ext uri="{FF2B5EF4-FFF2-40B4-BE49-F238E27FC236}">
              <a16:creationId xmlns:a16="http://schemas.microsoft.com/office/drawing/2014/main" id="{1084F43F-C904-4021-8461-4E2A2F9A6E6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3" name="Shape 11">
          <a:extLst>
            <a:ext uri="{FF2B5EF4-FFF2-40B4-BE49-F238E27FC236}">
              <a16:creationId xmlns:a16="http://schemas.microsoft.com/office/drawing/2014/main" id="{D846C282-2F16-4F94-82BB-C2DBFD7F6C4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14" name="Shape 10">
          <a:extLst>
            <a:ext uri="{FF2B5EF4-FFF2-40B4-BE49-F238E27FC236}">
              <a16:creationId xmlns:a16="http://schemas.microsoft.com/office/drawing/2014/main" id="{F37C22EB-8E57-4A77-9D82-A19B5462F083}"/>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5" name="Shape 11">
          <a:extLst>
            <a:ext uri="{FF2B5EF4-FFF2-40B4-BE49-F238E27FC236}">
              <a16:creationId xmlns:a16="http://schemas.microsoft.com/office/drawing/2014/main" id="{1FAAAF23-9A2F-4AEF-8DA6-70223C3C1B8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6" name="Shape 11">
          <a:extLst>
            <a:ext uri="{FF2B5EF4-FFF2-40B4-BE49-F238E27FC236}">
              <a16:creationId xmlns:a16="http://schemas.microsoft.com/office/drawing/2014/main" id="{D09EAEE5-5FAF-4036-8638-1702FFE2D6C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7" name="Shape 11">
          <a:extLst>
            <a:ext uri="{FF2B5EF4-FFF2-40B4-BE49-F238E27FC236}">
              <a16:creationId xmlns:a16="http://schemas.microsoft.com/office/drawing/2014/main" id="{998CF629-1159-45D8-ADD0-3CE978941C3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8" name="Shape 11">
          <a:extLst>
            <a:ext uri="{FF2B5EF4-FFF2-40B4-BE49-F238E27FC236}">
              <a16:creationId xmlns:a16="http://schemas.microsoft.com/office/drawing/2014/main" id="{B5CC48E6-CF43-4DF3-9990-5953600E4CE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9" name="Shape 11">
          <a:extLst>
            <a:ext uri="{FF2B5EF4-FFF2-40B4-BE49-F238E27FC236}">
              <a16:creationId xmlns:a16="http://schemas.microsoft.com/office/drawing/2014/main" id="{9837FB7F-CC73-4D0D-86D8-85717CAD7B5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0" name="Shape 10">
          <a:extLst>
            <a:ext uri="{FF2B5EF4-FFF2-40B4-BE49-F238E27FC236}">
              <a16:creationId xmlns:a16="http://schemas.microsoft.com/office/drawing/2014/main" id="{94BAEACB-564A-47BA-88D7-3BD0C0D7632D}"/>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1" name="Shape 11">
          <a:extLst>
            <a:ext uri="{FF2B5EF4-FFF2-40B4-BE49-F238E27FC236}">
              <a16:creationId xmlns:a16="http://schemas.microsoft.com/office/drawing/2014/main" id="{1D89DC9E-AF00-4B3D-A02B-5B03A993CF3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2" name="Shape 11">
          <a:extLst>
            <a:ext uri="{FF2B5EF4-FFF2-40B4-BE49-F238E27FC236}">
              <a16:creationId xmlns:a16="http://schemas.microsoft.com/office/drawing/2014/main" id="{EDD0CF5B-BDBA-4DBC-89E7-83EB1F0FAA7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3" name="Shape 11">
          <a:extLst>
            <a:ext uri="{FF2B5EF4-FFF2-40B4-BE49-F238E27FC236}">
              <a16:creationId xmlns:a16="http://schemas.microsoft.com/office/drawing/2014/main" id="{65E1B3D4-5698-4CDE-9DCF-9CA4CBD33A0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4" name="Shape 11">
          <a:extLst>
            <a:ext uri="{FF2B5EF4-FFF2-40B4-BE49-F238E27FC236}">
              <a16:creationId xmlns:a16="http://schemas.microsoft.com/office/drawing/2014/main" id="{EAF09328-DB00-498B-97EA-1A916BE22A0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5" name="Shape 11">
          <a:extLst>
            <a:ext uri="{FF2B5EF4-FFF2-40B4-BE49-F238E27FC236}">
              <a16:creationId xmlns:a16="http://schemas.microsoft.com/office/drawing/2014/main" id="{E2920E13-BC61-4BF4-ADC5-C291DC51F59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6" name="Shape 10">
          <a:extLst>
            <a:ext uri="{FF2B5EF4-FFF2-40B4-BE49-F238E27FC236}">
              <a16:creationId xmlns:a16="http://schemas.microsoft.com/office/drawing/2014/main" id="{739C49B7-B943-4C00-8AE5-9A1753A7D05A}"/>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7" name="Shape 11">
          <a:extLst>
            <a:ext uri="{FF2B5EF4-FFF2-40B4-BE49-F238E27FC236}">
              <a16:creationId xmlns:a16="http://schemas.microsoft.com/office/drawing/2014/main" id="{4D9E8B87-CAB6-485C-8783-D9F151720D1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8" name="Shape 13">
          <a:extLst>
            <a:ext uri="{FF2B5EF4-FFF2-40B4-BE49-F238E27FC236}">
              <a16:creationId xmlns:a16="http://schemas.microsoft.com/office/drawing/2014/main" id="{ABFA2992-7198-4154-9E5C-CA87AE09B85B}"/>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29" name="Shape 14">
          <a:extLst>
            <a:ext uri="{FF2B5EF4-FFF2-40B4-BE49-F238E27FC236}">
              <a16:creationId xmlns:a16="http://schemas.microsoft.com/office/drawing/2014/main" id="{02FF1FAB-AE46-4276-B258-C1238DF33908}"/>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30" name="Shape 10">
          <a:extLst>
            <a:ext uri="{FF2B5EF4-FFF2-40B4-BE49-F238E27FC236}">
              <a16:creationId xmlns:a16="http://schemas.microsoft.com/office/drawing/2014/main" id="{EBEBE60B-51D2-43BC-B757-3DBB2670EBF4}"/>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31" name="Shape 12">
          <a:extLst>
            <a:ext uri="{FF2B5EF4-FFF2-40B4-BE49-F238E27FC236}">
              <a16:creationId xmlns:a16="http://schemas.microsoft.com/office/drawing/2014/main" id="{A6D16F0E-F480-4726-BAC8-036DAD0AAB28}"/>
            </a:ext>
          </a:extLst>
        </xdr:cNvPr>
        <xdr:cNvSpPr txBox="1"/>
      </xdr:nvSpPr>
      <xdr:spPr>
        <a:xfrm>
          <a:off x="0" y="357854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F737EAB0-BB2A-4368-B07E-88C56D2C46A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 name="Shape 10">
          <a:extLst>
            <a:ext uri="{FF2B5EF4-FFF2-40B4-BE49-F238E27FC236}">
              <a16:creationId xmlns:a16="http://schemas.microsoft.com/office/drawing/2014/main" id="{B5AB626F-C16C-43A7-9C7E-0E24A2C6552C}"/>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F7CA87DC-60BC-4C92-83B6-FF1AEA0E80D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402A7900-41FA-4D37-A604-FAD70197A8B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5B9F8E3E-B455-46D4-92B7-3B1505F261E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 name="Shape 11">
          <a:extLst>
            <a:ext uri="{FF2B5EF4-FFF2-40B4-BE49-F238E27FC236}">
              <a16:creationId xmlns:a16="http://schemas.microsoft.com/office/drawing/2014/main" id="{F88D2CEE-FD69-4BEF-B68C-0A9773D6432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2DB5BAD7-FCDE-4118-9209-13C8E7F0106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9" name="Shape 10">
          <a:extLst>
            <a:ext uri="{FF2B5EF4-FFF2-40B4-BE49-F238E27FC236}">
              <a16:creationId xmlns:a16="http://schemas.microsoft.com/office/drawing/2014/main" id="{49B60C93-A278-4EF2-88EB-E2ECA371FD3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0" name="Shape 11">
          <a:extLst>
            <a:ext uri="{FF2B5EF4-FFF2-40B4-BE49-F238E27FC236}">
              <a16:creationId xmlns:a16="http://schemas.microsoft.com/office/drawing/2014/main" id="{3F5825BE-C3FF-48B4-9AE4-8911C1806EA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1720065B-8026-4585-AD24-7CB7A9A5A33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377A5DDD-DED6-4D03-AC2B-30698EB6FE6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26556C63-CB03-476F-9A45-86015476B79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E6B1BB71-D4B4-4A8E-8C79-242D6027AE8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8C2F2A97-4467-48C7-BB37-A518FACB96CD}"/>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5FC5A557-4234-4A32-A366-DFE1F296937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175651F7-C758-4D84-84C7-33FBBB20DCB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28492C48-2092-43FF-B70E-538B9DE3913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ADC292F5-2053-4EF8-A748-C46EF1AE858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1E1C86AD-26B3-46B9-BF08-EB74A2E3A4D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D1C04324-BF54-4AEB-B515-7ED8145FF30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46A2049E-3892-4D1C-BB8C-00A1F9CCCFA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A995E644-1401-463C-922B-51B40741286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5B124A3C-3D4E-4AA3-8F2A-8C8A10F8DE0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4EA1D179-2022-4A41-B953-8BFEE155108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96E1BBE6-2764-4175-AD17-37296A7C87E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637EABD6-F461-487D-979D-40D65865F2F6}"/>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CCAF1410-5651-4B01-AC8E-7A25252900F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D4F2F0F0-40B9-4EC6-83DD-36323FBC361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7DF07610-B228-43E0-A3B2-C436A2C24EC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1BD613E7-C563-473F-8C96-7672DB167BA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DED23B09-D353-4656-A108-4CF03990CF6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8A0DB552-D801-4CF1-8FE3-EE7057A526FC}"/>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AF0CA51E-D3D5-4415-BCA9-1142FC2C8EC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45A0941A-F04A-4221-8E22-7849ED002DB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BF2BC61E-2D6F-47CF-AE43-DD03DA474CB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51CEBCE-4319-4B8C-8EDA-FBB695B942F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55D0ABE-FB2B-4C46-849B-1A50EB2E3AE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476BA895-4F3F-41D9-9631-52FBC52F20E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C6877480-1C49-4B1A-A646-FF90CADCFF9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8AABCDBA-8085-4EF6-B578-264585F7D602}"/>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6A3A1E5-429C-4AE5-B000-22F337E38821}"/>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FBEDB2F9-26FE-427D-8003-1CCC8E7BECA7}"/>
            </a:ext>
          </a:extLst>
        </xdr:cNvPr>
        <xdr:cNvSpPr txBox="1"/>
      </xdr:nvSpPr>
      <xdr:spPr>
        <a:xfrm>
          <a:off x="4124325" y="1619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788EA722-0572-4CDF-B454-BF44B6393645}"/>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D216BE40-2094-4FFC-87DE-9F447A56C3D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28BBB7CF-8494-48E8-B9BA-4F56E2C24870}"/>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B0AD113C-FE43-4C44-B3CB-5FAAB73417C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FC69BD9C-8899-444F-AA43-7A10818266A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9466296C-A038-4DCD-B8CF-A4814414772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E3CCE63-2231-4596-9A92-A6921786168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ED8F3586-10A4-4FB5-96D6-8AFFCF6BF1D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2E8E3558-8FD9-4FB8-A321-866A4ECF0627}"/>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45059FCA-638E-4A26-9B80-DB12BD76417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C1164FEC-DDF0-476F-8C83-126D8F74A2C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70CCAE66-B57E-41B9-880B-BE798F6ADF0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F5061EAF-DBD7-418B-9E90-B74096AD49A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A3A2CE4-B4F1-4F72-930C-8899B45DA39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4B747ABF-9A7B-4E21-BD1C-E09A858B3F0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318F8A6C-58E3-491A-9AFA-3862B2A54CD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3911FC6-C806-4C49-BBDC-37F11679C99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7D059D-2ADA-40E7-8952-C64280FAB27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7737CA1E-8C6E-4A03-B5DC-C919ED89112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B9BB480A-FC53-46DF-940D-C2A05C51BDC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4AC7079C-8A1B-4C7B-9937-CD120BEA7623}"/>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D5695218-C48F-47E2-B9A5-67D59760C55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46FD665D-D2BF-4E97-B92C-27A8A4317EB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702F57C5-B218-4E1F-A26E-D7E872CFD03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10D28E89-9F5A-495B-AB8C-0C1B3C9EE7C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7D64A790-AF8E-4405-A4DF-C97C3CD3572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73B6691F-63A6-4D82-8A22-3EBBB62916B6}"/>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9ECA1A0F-E7D3-4F07-8F93-DDD92590F64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A11BB526-E08B-48C5-A8B0-1A90AC8EC34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4E23E1A4-7AFE-4A87-A986-DD5658450B7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F997F17D-5641-4B8E-907C-F612C5AA9FD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205CFAD-CC42-4331-8056-C94F9B0F0CF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4FE82904-3883-4766-A8F6-12E278701BC6}"/>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4DA9DF76-D9D5-45E1-A528-FAED93B0AA0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5A07100F-AE49-47EE-998C-797ABDD0D9F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F9426CA5-A568-48D3-A730-4C19EC4E170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E47462CD-8C33-45E4-A6F5-0F3C3A4043E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DACFEFAC-ACF2-4FC6-9BFA-AA9BE999647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B7FD00B1-DE48-4322-882A-C17021C8788E}"/>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5B483015-36AF-41A3-B30F-19EAC759EB5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83F93AB-16F6-460C-85C9-1DD2E4EBDC33}"/>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788FABCB-3B0C-4F91-8723-8FB3E7D4FB00}"/>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59F3643E-5C54-4241-867D-042D53393CF3}"/>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A073E04-869A-41C1-A692-3A850417C576}"/>
            </a:ext>
          </a:extLst>
        </xdr:cNvPr>
        <xdr:cNvSpPr txBox="1"/>
      </xdr:nvSpPr>
      <xdr:spPr>
        <a:xfrm>
          <a:off x="0" y="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88" name="Shape 11">
          <a:extLst>
            <a:ext uri="{FF2B5EF4-FFF2-40B4-BE49-F238E27FC236}">
              <a16:creationId xmlns:a16="http://schemas.microsoft.com/office/drawing/2014/main" id="{C3AB99F1-60B9-4E09-89D4-314F548F9BE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89" name="Shape 10">
          <a:extLst>
            <a:ext uri="{FF2B5EF4-FFF2-40B4-BE49-F238E27FC236}">
              <a16:creationId xmlns:a16="http://schemas.microsoft.com/office/drawing/2014/main" id="{EB45339B-F7CB-42BB-A10F-B4275D570FF8}"/>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0" name="Shape 11">
          <a:extLst>
            <a:ext uri="{FF2B5EF4-FFF2-40B4-BE49-F238E27FC236}">
              <a16:creationId xmlns:a16="http://schemas.microsoft.com/office/drawing/2014/main" id="{9126FB0D-350B-481F-998A-BD03B2A73AE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1" name="Shape 11">
          <a:extLst>
            <a:ext uri="{FF2B5EF4-FFF2-40B4-BE49-F238E27FC236}">
              <a16:creationId xmlns:a16="http://schemas.microsoft.com/office/drawing/2014/main" id="{C05F9D81-C9F3-488F-8C52-6B3B5012290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2" name="Shape 11">
          <a:extLst>
            <a:ext uri="{FF2B5EF4-FFF2-40B4-BE49-F238E27FC236}">
              <a16:creationId xmlns:a16="http://schemas.microsoft.com/office/drawing/2014/main" id="{BE3EF8F7-1E9C-4357-8E85-E7D664F8F25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3" name="Shape 11">
          <a:extLst>
            <a:ext uri="{FF2B5EF4-FFF2-40B4-BE49-F238E27FC236}">
              <a16:creationId xmlns:a16="http://schemas.microsoft.com/office/drawing/2014/main" id="{E4B54682-8C1C-4534-A15C-6940E4B4F5D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4" name="Shape 11">
          <a:extLst>
            <a:ext uri="{FF2B5EF4-FFF2-40B4-BE49-F238E27FC236}">
              <a16:creationId xmlns:a16="http://schemas.microsoft.com/office/drawing/2014/main" id="{FD9BFE10-EDCC-40CF-87AF-C03DA42791D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95" name="Shape 10">
          <a:extLst>
            <a:ext uri="{FF2B5EF4-FFF2-40B4-BE49-F238E27FC236}">
              <a16:creationId xmlns:a16="http://schemas.microsoft.com/office/drawing/2014/main" id="{6119F881-6376-4A90-B76D-BC3413F1E937}"/>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6" name="Shape 11">
          <a:extLst>
            <a:ext uri="{FF2B5EF4-FFF2-40B4-BE49-F238E27FC236}">
              <a16:creationId xmlns:a16="http://schemas.microsoft.com/office/drawing/2014/main" id="{68CE5C03-17CA-476F-BB32-A6DA56A1CE6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7" name="Shape 11">
          <a:extLst>
            <a:ext uri="{FF2B5EF4-FFF2-40B4-BE49-F238E27FC236}">
              <a16:creationId xmlns:a16="http://schemas.microsoft.com/office/drawing/2014/main" id="{C97CBF3D-7A38-4745-9A09-75B56F5DEA3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8" name="Shape 11">
          <a:extLst>
            <a:ext uri="{FF2B5EF4-FFF2-40B4-BE49-F238E27FC236}">
              <a16:creationId xmlns:a16="http://schemas.microsoft.com/office/drawing/2014/main" id="{3AFB5EA5-FD3A-4FF9-8F6D-2339B8A8B4A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9" name="Shape 11">
          <a:extLst>
            <a:ext uri="{FF2B5EF4-FFF2-40B4-BE49-F238E27FC236}">
              <a16:creationId xmlns:a16="http://schemas.microsoft.com/office/drawing/2014/main" id="{010CC50E-87D8-45B4-81A3-16228E5D11D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0" name="Shape 11">
          <a:extLst>
            <a:ext uri="{FF2B5EF4-FFF2-40B4-BE49-F238E27FC236}">
              <a16:creationId xmlns:a16="http://schemas.microsoft.com/office/drawing/2014/main" id="{7A0FF256-45D2-4D08-8084-0624ECDB4BC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1" name="Shape 10">
          <a:extLst>
            <a:ext uri="{FF2B5EF4-FFF2-40B4-BE49-F238E27FC236}">
              <a16:creationId xmlns:a16="http://schemas.microsoft.com/office/drawing/2014/main" id="{2A074DE5-6970-4E30-BF1E-D65A313419B2}"/>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2" name="Shape 11">
          <a:extLst>
            <a:ext uri="{FF2B5EF4-FFF2-40B4-BE49-F238E27FC236}">
              <a16:creationId xmlns:a16="http://schemas.microsoft.com/office/drawing/2014/main" id="{AB52C9FA-9005-49CB-975D-6F25B9734A3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3" name="Shape 11">
          <a:extLst>
            <a:ext uri="{FF2B5EF4-FFF2-40B4-BE49-F238E27FC236}">
              <a16:creationId xmlns:a16="http://schemas.microsoft.com/office/drawing/2014/main" id="{7ED2E1AC-00DE-41BB-A829-2BB6CCE3744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4" name="Shape 11">
          <a:extLst>
            <a:ext uri="{FF2B5EF4-FFF2-40B4-BE49-F238E27FC236}">
              <a16:creationId xmlns:a16="http://schemas.microsoft.com/office/drawing/2014/main" id="{06A3747E-97BC-40A9-8766-49ED71E3331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5" name="Shape 11">
          <a:extLst>
            <a:ext uri="{FF2B5EF4-FFF2-40B4-BE49-F238E27FC236}">
              <a16:creationId xmlns:a16="http://schemas.microsoft.com/office/drawing/2014/main" id="{2B7A3765-9CBE-41A7-A534-86FF3AFDCD3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6" name="Shape 11">
          <a:extLst>
            <a:ext uri="{FF2B5EF4-FFF2-40B4-BE49-F238E27FC236}">
              <a16:creationId xmlns:a16="http://schemas.microsoft.com/office/drawing/2014/main" id="{270A378F-9CC1-42BA-A044-56ED79063CC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7" name="Shape 10">
          <a:extLst>
            <a:ext uri="{FF2B5EF4-FFF2-40B4-BE49-F238E27FC236}">
              <a16:creationId xmlns:a16="http://schemas.microsoft.com/office/drawing/2014/main" id="{81DB7AD4-9302-4060-A942-A7B6C655CA60}"/>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8" name="Shape 11">
          <a:extLst>
            <a:ext uri="{FF2B5EF4-FFF2-40B4-BE49-F238E27FC236}">
              <a16:creationId xmlns:a16="http://schemas.microsoft.com/office/drawing/2014/main" id="{7570B6C4-60C1-4F3A-A19D-B3A05AEE2C9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9" name="Shape 11">
          <a:extLst>
            <a:ext uri="{FF2B5EF4-FFF2-40B4-BE49-F238E27FC236}">
              <a16:creationId xmlns:a16="http://schemas.microsoft.com/office/drawing/2014/main" id="{93E93268-9505-46D0-A6E7-62FA39D5B3D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0" name="Shape 11">
          <a:extLst>
            <a:ext uri="{FF2B5EF4-FFF2-40B4-BE49-F238E27FC236}">
              <a16:creationId xmlns:a16="http://schemas.microsoft.com/office/drawing/2014/main" id="{5BC6C009-48B5-4348-88EF-40E87411DE6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1" name="Shape 11">
          <a:extLst>
            <a:ext uri="{FF2B5EF4-FFF2-40B4-BE49-F238E27FC236}">
              <a16:creationId xmlns:a16="http://schemas.microsoft.com/office/drawing/2014/main" id="{2662293A-2558-406E-8C94-BE75F4C0512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2" name="Shape 11">
          <a:extLst>
            <a:ext uri="{FF2B5EF4-FFF2-40B4-BE49-F238E27FC236}">
              <a16:creationId xmlns:a16="http://schemas.microsoft.com/office/drawing/2014/main" id="{CFBB06D0-A57B-4ACB-A9A0-97EF754023D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3" name="Shape 10">
          <a:extLst>
            <a:ext uri="{FF2B5EF4-FFF2-40B4-BE49-F238E27FC236}">
              <a16:creationId xmlns:a16="http://schemas.microsoft.com/office/drawing/2014/main" id="{46E2F1F7-8975-49F5-88FB-B1B16EFA65B7}"/>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4" name="Shape 11">
          <a:extLst>
            <a:ext uri="{FF2B5EF4-FFF2-40B4-BE49-F238E27FC236}">
              <a16:creationId xmlns:a16="http://schemas.microsoft.com/office/drawing/2014/main" id="{0628F64A-BC61-475B-A032-7869A4B9B0B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5" name="Shape 11">
          <a:extLst>
            <a:ext uri="{FF2B5EF4-FFF2-40B4-BE49-F238E27FC236}">
              <a16:creationId xmlns:a16="http://schemas.microsoft.com/office/drawing/2014/main" id="{3EF94268-EE6C-4F6C-B162-2031D9145EE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6" name="Shape 11">
          <a:extLst>
            <a:ext uri="{FF2B5EF4-FFF2-40B4-BE49-F238E27FC236}">
              <a16:creationId xmlns:a16="http://schemas.microsoft.com/office/drawing/2014/main" id="{5E9392B8-6948-49A6-B520-D2740FC1443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7" name="Shape 11">
          <a:extLst>
            <a:ext uri="{FF2B5EF4-FFF2-40B4-BE49-F238E27FC236}">
              <a16:creationId xmlns:a16="http://schemas.microsoft.com/office/drawing/2014/main" id="{4EFBF38D-9E09-4FF1-9270-1A63EA0F89E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8" name="Shape 11">
          <a:extLst>
            <a:ext uri="{FF2B5EF4-FFF2-40B4-BE49-F238E27FC236}">
              <a16:creationId xmlns:a16="http://schemas.microsoft.com/office/drawing/2014/main" id="{24B049FD-57DC-4FB3-84DE-9AB595E3FD2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9" name="Shape 10">
          <a:extLst>
            <a:ext uri="{FF2B5EF4-FFF2-40B4-BE49-F238E27FC236}">
              <a16:creationId xmlns:a16="http://schemas.microsoft.com/office/drawing/2014/main" id="{14D5ACA0-619A-41B7-8EE1-4206FDB396B7}"/>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0" name="Shape 11">
          <a:extLst>
            <a:ext uri="{FF2B5EF4-FFF2-40B4-BE49-F238E27FC236}">
              <a16:creationId xmlns:a16="http://schemas.microsoft.com/office/drawing/2014/main" id="{B20580B6-F23F-4CFC-8D6B-E5D993F63CA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1" name="Shape 11">
          <a:extLst>
            <a:ext uri="{FF2B5EF4-FFF2-40B4-BE49-F238E27FC236}">
              <a16:creationId xmlns:a16="http://schemas.microsoft.com/office/drawing/2014/main" id="{D6F898DE-2625-4CC4-A17A-51AB4D89CBD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2" name="Shape 11">
          <a:extLst>
            <a:ext uri="{FF2B5EF4-FFF2-40B4-BE49-F238E27FC236}">
              <a16:creationId xmlns:a16="http://schemas.microsoft.com/office/drawing/2014/main" id="{C057DACE-A725-4A58-8180-6A7E8598F83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3" name="Shape 11">
          <a:extLst>
            <a:ext uri="{FF2B5EF4-FFF2-40B4-BE49-F238E27FC236}">
              <a16:creationId xmlns:a16="http://schemas.microsoft.com/office/drawing/2014/main" id="{4771C545-63FA-4C57-ABD1-9B8377FDDD3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4" name="Shape 11">
          <a:extLst>
            <a:ext uri="{FF2B5EF4-FFF2-40B4-BE49-F238E27FC236}">
              <a16:creationId xmlns:a16="http://schemas.microsoft.com/office/drawing/2014/main" id="{260EF8D0-0293-450A-86D9-84B7A3DE1A9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5" name="Shape 10">
          <a:extLst>
            <a:ext uri="{FF2B5EF4-FFF2-40B4-BE49-F238E27FC236}">
              <a16:creationId xmlns:a16="http://schemas.microsoft.com/office/drawing/2014/main" id="{6F29BDCE-06DD-4D35-8AF8-A6226E74EB4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6" name="Shape 11">
          <a:extLst>
            <a:ext uri="{FF2B5EF4-FFF2-40B4-BE49-F238E27FC236}">
              <a16:creationId xmlns:a16="http://schemas.microsoft.com/office/drawing/2014/main" id="{12644EC0-9903-4814-8BC2-6B15341D953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7" name="Shape 13">
          <a:extLst>
            <a:ext uri="{FF2B5EF4-FFF2-40B4-BE49-F238E27FC236}">
              <a16:creationId xmlns:a16="http://schemas.microsoft.com/office/drawing/2014/main" id="{C1E57355-E12E-40DE-A3C0-55F4FAA30887}"/>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28" name="Shape 14">
          <a:extLst>
            <a:ext uri="{FF2B5EF4-FFF2-40B4-BE49-F238E27FC236}">
              <a16:creationId xmlns:a16="http://schemas.microsoft.com/office/drawing/2014/main" id="{4D5F3F46-E4B7-418C-9027-8BE7E7402B38}"/>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9" name="Shape 10">
          <a:extLst>
            <a:ext uri="{FF2B5EF4-FFF2-40B4-BE49-F238E27FC236}">
              <a16:creationId xmlns:a16="http://schemas.microsoft.com/office/drawing/2014/main" id="{171398B4-6DF4-4537-8552-3DADF21F00CF}"/>
            </a:ext>
          </a:extLst>
        </xdr:cNvPr>
        <xdr:cNvSpPr txBox="1"/>
      </xdr:nvSpPr>
      <xdr:spPr>
        <a:xfrm>
          <a:off x="4124325" y="90678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30" name="Shape 14">
          <a:extLst>
            <a:ext uri="{FF2B5EF4-FFF2-40B4-BE49-F238E27FC236}">
              <a16:creationId xmlns:a16="http://schemas.microsoft.com/office/drawing/2014/main" id="{73673B4E-04B2-4E9A-924F-5F0931DF2B49}"/>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1" name="Shape 11">
          <a:extLst>
            <a:ext uri="{FF2B5EF4-FFF2-40B4-BE49-F238E27FC236}">
              <a16:creationId xmlns:a16="http://schemas.microsoft.com/office/drawing/2014/main" id="{DE8EEAEA-03B0-4EC2-8287-8F7A868BD20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2" name="Shape 10">
          <a:extLst>
            <a:ext uri="{FF2B5EF4-FFF2-40B4-BE49-F238E27FC236}">
              <a16:creationId xmlns:a16="http://schemas.microsoft.com/office/drawing/2014/main" id="{DA260106-3FF3-4AB7-BF7E-D97F7E0B7D0D}"/>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3" name="Shape 11">
          <a:extLst>
            <a:ext uri="{FF2B5EF4-FFF2-40B4-BE49-F238E27FC236}">
              <a16:creationId xmlns:a16="http://schemas.microsoft.com/office/drawing/2014/main" id="{FD65C1F6-BED1-4817-8D30-438537331F9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4" name="Shape 11">
          <a:extLst>
            <a:ext uri="{FF2B5EF4-FFF2-40B4-BE49-F238E27FC236}">
              <a16:creationId xmlns:a16="http://schemas.microsoft.com/office/drawing/2014/main" id="{3E54AF65-9977-49CD-B6DA-07F0D2F3CFE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5" name="Shape 11">
          <a:extLst>
            <a:ext uri="{FF2B5EF4-FFF2-40B4-BE49-F238E27FC236}">
              <a16:creationId xmlns:a16="http://schemas.microsoft.com/office/drawing/2014/main" id="{0F383389-FA45-4BE4-A13E-A40B3B728C4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6" name="Shape 11">
          <a:extLst>
            <a:ext uri="{FF2B5EF4-FFF2-40B4-BE49-F238E27FC236}">
              <a16:creationId xmlns:a16="http://schemas.microsoft.com/office/drawing/2014/main" id="{87341003-9016-4B44-859E-CDD99B4BD4C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7" name="Shape 11">
          <a:extLst>
            <a:ext uri="{FF2B5EF4-FFF2-40B4-BE49-F238E27FC236}">
              <a16:creationId xmlns:a16="http://schemas.microsoft.com/office/drawing/2014/main" id="{689E4768-FAED-44EE-929C-795D77D37E3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8" name="Shape 10">
          <a:extLst>
            <a:ext uri="{FF2B5EF4-FFF2-40B4-BE49-F238E27FC236}">
              <a16:creationId xmlns:a16="http://schemas.microsoft.com/office/drawing/2014/main" id="{FCC735C4-A0A8-48F9-97A4-21060C509A9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9" name="Shape 11">
          <a:extLst>
            <a:ext uri="{FF2B5EF4-FFF2-40B4-BE49-F238E27FC236}">
              <a16:creationId xmlns:a16="http://schemas.microsoft.com/office/drawing/2014/main" id="{872EC2D1-19A1-40B9-A4B5-B268E30F8BE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0" name="Shape 11">
          <a:extLst>
            <a:ext uri="{FF2B5EF4-FFF2-40B4-BE49-F238E27FC236}">
              <a16:creationId xmlns:a16="http://schemas.microsoft.com/office/drawing/2014/main" id="{308BB507-60B3-41CB-8975-2AEDDA9D512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1" name="Shape 11">
          <a:extLst>
            <a:ext uri="{FF2B5EF4-FFF2-40B4-BE49-F238E27FC236}">
              <a16:creationId xmlns:a16="http://schemas.microsoft.com/office/drawing/2014/main" id="{579BBE6C-E03D-4CF1-AB19-ED0B7415B3C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2" name="Shape 11">
          <a:extLst>
            <a:ext uri="{FF2B5EF4-FFF2-40B4-BE49-F238E27FC236}">
              <a16:creationId xmlns:a16="http://schemas.microsoft.com/office/drawing/2014/main" id="{2245621B-4552-41B3-B528-A20EAB7D63C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3" name="Shape 11">
          <a:extLst>
            <a:ext uri="{FF2B5EF4-FFF2-40B4-BE49-F238E27FC236}">
              <a16:creationId xmlns:a16="http://schemas.microsoft.com/office/drawing/2014/main" id="{25272B7F-0B36-40E0-A9A3-6851E914851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44" name="Shape 10">
          <a:extLst>
            <a:ext uri="{FF2B5EF4-FFF2-40B4-BE49-F238E27FC236}">
              <a16:creationId xmlns:a16="http://schemas.microsoft.com/office/drawing/2014/main" id="{BD3565FB-6BD6-4258-8825-9AB459C41EA9}"/>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5" name="Shape 11">
          <a:extLst>
            <a:ext uri="{FF2B5EF4-FFF2-40B4-BE49-F238E27FC236}">
              <a16:creationId xmlns:a16="http://schemas.microsoft.com/office/drawing/2014/main" id="{993DE9FE-56A5-4EDA-8B9C-183D9008166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6" name="Shape 11">
          <a:extLst>
            <a:ext uri="{FF2B5EF4-FFF2-40B4-BE49-F238E27FC236}">
              <a16:creationId xmlns:a16="http://schemas.microsoft.com/office/drawing/2014/main" id="{35EC27A4-43DC-4055-94E9-A6689240B61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7" name="Shape 11">
          <a:extLst>
            <a:ext uri="{FF2B5EF4-FFF2-40B4-BE49-F238E27FC236}">
              <a16:creationId xmlns:a16="http://schemas.microsoft.com/office/drawing/2014/main" id="{6968F16C-FA05-4C4A-BE9F-893CE1B9CFC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8" name="Shape 11">
          <a:extLst>
            <a:ext uri="{FF2B5EF4-FFF2-40B4-BE49-F238E27FC236}">
              <a16:creationId xmlns:a16="http://schemas.microsoft.com/office/drawing/2014/main" id="{0C4EE142-2C70-44C1-9D26-5D750B1AB32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9" name="Shape 11">
          <a:extLst>
            <a:ext uri="{FF2B5EF4-FFF2-40B4-BE49-F238E27FC236}">
              <a16:creationId xmlns:a16="http://schemas.microsoft.com/office/drawing/2014/main" id="{ED065273-DF3F-4FD3-B533-2474D9D902B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0" name="Shape 10">
          <a:extLst>
            <a:ext uri="{FF2B5EF4-FFF2-40B4-BE49-F238E27FC236}">
              <a16:creationId xmlns:a16="http://schemas.microsoft.com/office/drawing/2014/main" id="{2D153E82-CEF0-4C45-B7AF-21BFCF970108}"/>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1" name="Shape 11">
          <a:extLst>
            <a:ext uri="{FF2B5EF4-FFF2-40B4-BE49-F238E27FC236}">
              <a16:creationId xmlns:a16="http://schemas.microsoft.com/office/drawing/2014/main" id="{7B5C624F-E6A9-4815-9F10-9BAB88CC13A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2" name="Shape 11">
          <a:extLst>
            <a:ext uri="{FF2B5EF4-FFF2-40B4-BE49-F238E27FC236}">
              <a16:creationId xmlns:a16="http://schemas.microsoft.com/office/drawing/2014/main" id="{D5A5682B-B453-4538-A1D0-54C8F46CC58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3" name="Shape 11">
          <a:extLst>
            <a:ext uri="{FF2B5EF4-FFF2-40B4-BE49-F238E27FC236}">
              <a16:creationId xmlns:a16="http://schemas.microsoft.com/office/drawing/2014/main" id="{1F8C0A10-B7FD-43D0-A5E1-8C0E9A54709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4" name="Shape 11">
          <a:extLst>
            <a:ext uri="{FF2B5EF4-FFF2-40B4-BE49-F238E27FC236}">
              <a16:creationId xmlns:a16="http://schemas.microsoft.com/office/drawing/2014/main" id="{E9D5979A-8A81-4365-9968-B5D82D5F0FE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5" name="Shape 11">
          <a:extLst>
            <a:ext uri="{FF2B5EF4-FFF2-40B4-BE49-F238E27FC236}">
              <a16:creationId xmlns:a16="http://schemas.microsoft.com/office/drawing/2014/main" id="{6500971E-AD6E-4090-97C7-24162BADDE4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6" name="Shape 10">
          <a:extLst>
            <a:ext uri="{FF2B5EF4-FFF2-40B4-BE49-F238E27FC236}">
              <a16:creationId xmlns:a16="http://schemas.microsoft.com/office/drawing/2014/main" id="{3338D462-3C4C-49FE-BE5D-7E2F510D4A3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7" name="Shape 11">
          <a:extLst>
            <a:ext uri="{FF2B5EF4-FFF2-40B4-BE49-F238E27FC236}">
              <a16:creationId xmlns:a16="http://schemas.microsoft.com/office/drawing/2014/main" id="{C4D8A5AD-02D5-4A03-A20F-74BF5B1AEBF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8" name="Shape 11">
          <a:extLst>
            <a:ext uri="{FF2B5EF4-FFF2-40B4-BE49-F238E27FC236}">
              <a16:creationId xmlns:a16="http://schemas.microsoft.com/office/drawing/2014/main" id="{B1C2E45A-91E4-4F62-9184-5B29DCA8924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9" name="Shape 11">
          <a:extLst>
            <a:ext uri="{FF2B5EF4-FFF2-40B4-BE49-F238E27FC236}">
              <a16:creationId xmlns:a16="http://schemas.microsoft.com/office/drawing/2014/main" id="{B73E9E6C-88E3-4B7A-9320-26C02DEBA9B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0" name="Shape 11">
          <a:extLst>
            <a:ext uri="{FF2B5EF4-FFF2-40B4-BE49-F238E27FC236}">
              <a16:creationId xmlns:a16="http://schemas.microsoft.com/office/drawing/2014/main" id="{F7768923-0D42-47CC-9861-47E262AE197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1" name="Shape 11">
          <a:extLst>
            <a:ext uri="{FF2B5EF4-FFF2-40B4-BE49-F238E27FC236}">
              <a16:creationId xmlns:a16="http://schemas.microsoft.com/office/drawing/2014/main" id="{6AA2A780-0F65-4054-8DFD-A7529D8F0B5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2" name="Shape 10">
          <a:extLst>
            <a:ext uri="{FF2B5EF4-FFF2-40B4-BE49-F238E27FC236}">
              <a16:creationId xmlns:a16="http://schemas.microsoft.com/office/drawing/2014/main" id="{54E95317-CCFD-471F-9E06-64120A7C82B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3" name="Shape 11">
          <a:extLst>
            <a:ext uri="{FF2B5EF4-FFF2-40B4-BE49-F238E27FC236}">
              <a16:creationId xmlns:a16="http://schemas.microsoft.com/office/drawing/2014/main" id="{F9ECC435-C170-478D-A8C5-08F7A0596A7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4" name="Shape 11">
          <a:extLst>
            <a:ext uri="{FF2B5EF4-FFF2-40B4-BE49-F238E27FC236}">
              <a16:creationId xmlns:a16="http://schemas.microsoft.com/office/drawing/2014/main" id="{6A8008C0-8786-4884-9C8C-A142FB58AFB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5" name="Shape 11">
          <a:extLst>
            <a:ext uri="{FF2B5EF4-FFF2-40B4-BE49-F238E27FC236}">
              <a16:creationId xmlns:a16="http://schemas.microsoft.com/office/drawing/2014/main" id="{FA676C15-6BE0-40AE-9F49-E2EAFD1645D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6" name="Shape 11">
          <a:extLst>
            <a:ext uri="{FF2B5EF4-FFF2-40B4-BE49-F238E27FC236}">
              <a16:creationId xmlns:a16="http://schemas.microsoft.com/office/drawing/2014/main" id="{307F79FA-BD82-430C-B1C4-29DE597A900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7" name="Shape 11">
          <a:extLst>
            <a:ext uri="{FF2B5EF4-FFF2-40B4-BE49-F238E27FC236}">
              <a16:creationId xmlns:a16="http://schemas.microsoft.com/office/drawing/2014/main" id="{F5D224B4-8325-4955-96D9-A9C0B7EC850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8" name="Shape 10">
          <a:extLst>
            <a:ext uri="{FF2B5EF4-FFF2-40B4-BE49-F238E27FC236}">
              <a16:creationId xmlns:a16="http://schemas.microsoft.com/office/drawing/2014/main" id="{8F0AEE8A-127E-4468-B785-9EC19A2287C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9" name="Shape 11">
          <a:extLst>
            <a:ext uri="{FF2B5EF4-FFF2-40B4-BE49-F238E27FC236}">
              <a16:creationId xmlns:a16="http://schemas.microsoft.com/office/drawing/2014/main" id="{2A43B5C2-2CAC-459C-A6D5-8B007716B83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0" name="Shape 13">
          <a:extLst>
            <a:ext uri="{FF2B5EF4-FFF2-40B4-BE49-F238E27FC236}">
              <a16:creationId xmlns:a16="http://schemas.microsoft.com/office/drawing/2014/main" id="{E89DAB01-F046-4DDE-9DB4-3455B9717762}"/>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1" name="Shape 14">
          <a:extLst>
            <a:ext uri="{FF2B5EF4-FFF2-40B4-BE49-F238E27FC236}">
              <a16:creationId xmlns:a16="http://schemas.microsoft.com/office/drawing/2014/main" id="{8ACAEEC0-FF9C-4B0E-8CAA-3739C4A49E06}"/>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2" name="Shape 10">
          <a:extLst>
            <a:ext uri="{FF2B5EF4-FFF2-40B4-BE49-F238E27FC236}">
              <a16:creationId xmlns:a16="http://schemas.microsoft.com/office/drawing/2014/main" id="{4F8B33F3-3324-4E26-988C-F5554BDEF4D1}"/>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3" name="Shape 12">
          <a:extLst>
            <a:ext uri="{FF2B5EF4-FFF2-40B4-BE49-F238E27FC236}">
              <a16:creationId xmlns:a16="http://schemas.microsoft.com/office/drawing/2014/main" id="{F38E61E5-CDBE-4932-84E2-E9427D77560F}"/>
            </a:ext>
          </a:extLst>
        </xdr:cNvPr>
        <xdr:cNvSpPr txBox="1"/>
      </xdr:nvSpPr>
      <xdr:spPr>
        <a:xfrm>
          <a:off x="0" y="89058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4" name="Shape 11">
          <a:extLst>
            <a:ext uri="{FF2B5EF4-FFF2-40B4-BE49-F238E27FC236}">
              <a16:creationId xmlns:a16="http://schemas.microsoft.com/office/drawing/2014/main" id="{513D2756-1082-4FA3-8700-499DF085D57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5" name="Shape 10">
          <a:extLst>
            <a:ext uri="{FF2B5EF4-FFF2-40B4-BE49-F238E27FC236}">
              <a16:creationId xmlns:a16="http://schemas.microsoft.com/office/drawing/2014/main" id="{9BCC46B3-8188-4A85-BA44-B517124D64B3}"/>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6" name="Shape 11">
          <a:extLst>
            <a:ext uri="{FF2B5EF4-FFF2-40B4-BE49-F238E27FC236}">
              <a16:creationId xmlns:a16="http://schemas.microsoft.com/office/drawing/2014/main" id="{6E29C55C-172E-4709-95A2-5240C109FDB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7" name="Shape 11">
          <a:extLst>
            <a:ext uri="{FF2B5EF4-FFF2-40B4-BE49-F238E27FC236}">
              <a16:creationId xmlns:a16="http://schemas.microsoft.com/office/drawing/2014/main" id="{D501D4D1-3B84-4B6D-B96D-25CCFC2D640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8" name="Shape 11">
          <a:extLst>
            <a:ext uri="{FF2B5EF4-FFF2-40B4-BE49-F238E27FC236}">
              <a16:creationId xmlns:a16="http://schemas.microsoft.com/office/drawing/2014/main" id="{C8AFAC8E-6B60-422D-ACBF-B6DDC35FE39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9" name="Shape 11">
          <a:extLst>
            <a:ext uri="{FF2B5EF4-FFF2-40B4-BE49-F238E27FC236}">
              <a16:creationId xmlns:a16="http://schemas.microsoft.com/office/drawing/2014/main" id="{B7C28CA2-E553-4C68-A32F-0725A98D644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0" name="Shape 11">
          <a:extLst>
            <a:ext uri="{FF2B5EF4-FFF2-40B4-BE49-F238E27FC236}">
              <a16:creationId xmlns:a16="http://schemas.microsoft.com/office/drawing/2014/main" id="{6D024D17-595C-4390-A109-83B25841DAB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1" name="Shape 10">
          <a:extLst>
            <a:ext uri="{FF2B5EF4-FFF2-40B4-BE49-F238E27FC236}">
              <a16:creationId xmlns:a16="http://schemas.microsoft.com/office/drawing/2014/main" id="{61EB6188-9BC2-43C1-954C-74E93171A63F}"/>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2" name="Shape 11">
          <a:extLst>
            <a:ext uri="{FF2B5EF4-FFF2-40B4-BE49-F238E27FC236}">
              <a16:creationId xmlns:a16="http://schemas.microsoft.com/office/drawing/2014/main" id="{2010A85B-DE42-4AD5-A30D-0CB80A80010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3" name="Shape 11">
          <a:extLst>
            <a:ext uri="{FF2B5EF4-FFF2-40B4-BE49-F238E27FC236}">
              <a16:creationId xmlns:a16="http://schemas.microsoft.com/office/drawing/2014/main" id="{B2095094-F279-4A91-9984-59F7AA9341E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4" name="Shape 11">
          <a:extLst>
            <a:ext uri="{FF2B5EF4-FFF2-40B4-BE49-F238E27FC236}">
              <a16:creationId xmlns:a16="http://schemas.microsoft.com/office/drawing/2014/main" id="{3C3772E6-5C83-4E13-B8E7-692104D415C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5" name="Shape 11">
          <a:extLst>
            <a:ext uri="{FF2B5EF4-FFF2-40B4-BE49-F238E27FC236}">
              <a16:creationId xmlns:a16="http://schemas.microsoft.com/office/drawing/2014/main" id="{4DF058FA-EDE4-43AB-A875-5645E7DC910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6" name="Shape 11">
          <a:extLst>
            <a:ext uri="{FF2B5EF4-FFF2-40B4-BE49-F238E27FC236}">
              <a16:creationId xmlns:a16="http://schemas.microsoft.com/office/drawing/2014/main" id="{8898F412-9016-4623-BAB2-FDA55174B2D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7" name="Shape 10">
          <a:extLst>
            <a:ext uri="{FF2B5EF4-FFF2-40B4-BE49-F238E27FC236}">
              <a16:creationId xmlns:a16="http://schemas.microsoft.com/office/drawing/2014/main" id="{906D9FB4-CCC2-45F6-BCF9-0478923A3826}"/>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8" name="Shape 11">
          <a:extLst>
            <a:ext uri="{FF2B5EF4-FFF2-40B4-BE49-F238E27FC236}">
              <a16:creationId xmlns:a16="http://schemas.microsoft.com/office/drawing/2014/main" id="{DD244E5A-4D7B-4C77-A1DB-997F9F97552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9" name="Shape 11">
          <a:extLst>
            <a:ext uri="{FF2B5EF4-FFF2-40B4-BE49-F238E27FC236}">
              <a16:creationId xmlns:a16="http://schemas.microsoft.com/office/drawing/2014/main" id="{CC72C9FE-E0F2-4A52-8861-0FEF4B7AD27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0" name="Shape 11">
          <a:extLst>
            <a:ext uri="{FF2B5EF4-FFF2-40B4-BE49-F238E27FC236}">
              <a16:creationId xmlns:a16="http://schemas.microsoft.com/office/drawing/2014/main" id="{4C67E57A-92C5-46D9-8B61-C5661982147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1" name="Shape 11">
          <a:extLst>
            <a:ext uri="{FF2B5EF4-FFF2-40B4-BE49-F238E27FC236}">
              <a16:creationId xmlns:a16="http://schemas.microsoft.com/office/drawing/2014/main" id="{DD2C7259-AB22-4590-AC42-857B140783F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2" name="Shape 11">
          <a:extLst>
            <a:ext uri="{FF2B5EF4-FFF2-40B4-BE49-F238E27FC236}">
              <a16:creationId xmlns:a16="http://schemas.microsoft.com/office/drawing/2014/main" id="{925D8E53-1D5B-4D71-89B5-70EB12E0A5F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3" name="Shape 10">
          <a:extLst>
            <a:ext uri="{FF2B5EF4-FFF2-40B4-BE49-F238E27FC236}">
              <a16:creationId xmlns:a16="http://schemas.microsoft.com/office/drawing/2014/main" id="{CAC32CA0-19B7-4697-91E0-84F65337BD67}"/>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4" name="Shape 11">
          <a:extLst>
            <a:ext uri="{FF2B5EF4-FFF2-40B4-BE49-F238E27FC236}">
              <a16:creationId xmlns:a16="http://schemas.microsoft.com/office/drawing/2014/main" id="{922D53EF-299D-479B-A21D-4586DB794AB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5" name="Shape 11">
          <a:extLst>
            <a:ext uri="{FF2B5EF4-FFF2-40B4-BE49-F238E27FC236}">
              <a16:creationId xmlns:a16="http://schemas.microsoft.com/office/drawing/2014/main" id="{D98F1CDD-6AE5-413D-802C-B1B7DD5CD9F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6" name="Shape 11">
          <a:extLst>
            <a:ext uri="{FF2B5EF4-FFF2-40B4-BE49-F238E27FC236}">
              <a16:creationId xmlns:a16="http://schemas.microsoft.com/office/drawing/2014/main" id="{C5F97E73-2327-4608-BA25-8CFEC97881D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7" name="Shape 11">
          <a:extLst>
            <a:ext uri="{FF2B5EF4-FFF2-40B4-BE49-F238E27FC236}">
              <a16:creationId xmlns:a16="http://schemas.microsoft.com/office/drawing/2014/main" id="{9FBD34D4-AC22-4600-900C-C838D070743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8" name="Shape 11">
          <a:extLst>
            <a:ext uri="{FF2B5EF4-FFF2-40B4-BE49-F238E27FC236}">
              <a16:creationId xmlns:a16="http://schemas.microsoft.com/office/drawing/2014/main" id="{0B5CD4B9-2FDC-413E-A092-565721382CD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9" name="Shape 10">
          <a:extLst>
            <a:ext uri="{FF2B5EF4-FFF2-40B4-BE49-F238E27FC236}">
              <a16:creationId xmlns:a16="http://schemas.microsoft.com/office/drawing/2014/main" id="{F9932CA7-FAD7-4C2C-B9F0-849519079499}"/>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0" name="Shape 11">
          <a:extLst>
            <a:ext uri="{FF2B5EF4-FFF2-40B4-BE49-F238E27FC236}">
              <a16:creationId xmlns:a16="http://schemas.microsoft.com/office/drawing/2014/main" id="{F0BD0282-F505-4424-9C76-33042099B76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1" name="Shape 11">
          <a:extLst>
            <a:ext uri="{FF2B5EF4-FFF2-40B4-BE49-F238E27FC236}">
              <a16:creationId xmlns:a16="http://schemas.microsoft.com/office/drawing/2014/main" id="{A4FC3BD1-E350-4406-ACB6-6F0F2B4E38A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2" name="Shape 11">
          <a:extLst>
            <a:ext uri="{FF2B5EF4-FFF2-40B4-BE49-F238E27FC236}">
              <a16:creationId xmlns:a16="http://schemas.microsoft.com/office/drawing/2014/main" id="{6F7AC5BC-E99B-495D-B3FD-372469896DA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3" name="Shape 11">
          <a:extLst>
            <a:ext uri="{FF2B5EF4-FFF2-40B4-BE49-F238E27FC236}">
              <a16:creationId xmlns:a16="http://schemas.microsoft.com/office/drawing/2014/main" id="{1D4323AD-8EBB-4BA5-8593-3C47CE87AC1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4" name="Shape 11">
          <a:extLst>
            <a:ext uri="{FF2B5EF4-FFF2-40B4-BE49-F238E27FC236}">
              <a16:creationId xmlns:a16="http://schemas.microsoft.com/office/drawing/2014/main" id="{831AE36A-A420-4543-A853-F9BB0D71BD6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05" name="Shape 10">
          <a:extLst>
            <a:ext uri="{FF2B5EF4-FFF2-40B4-BE49-F238E27FC236}">
              <a16:creationId xmlns:a16="http://schemas.microsoft.com/office/drawing/2014/main" id="{F5C97DCF-994A-4ACE-A6EF-52B9FD0615E5}"/>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6" name="Shape 11">
          <a:extLst>
            <a:ext uri="{FF2B5EF4-FFF2-40B4-BE49-F238E27FC236}">
              <a16:creationId xmlns:a16="http://schemas.microsoft.com/office/drawing/2014/main" id="{54588EEF-AAE5-4EC7-8D43-1A7F203A95B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7" name="Shape 11">
          <a:extLst>
            <a:ext uri="{FF2B5EF4-FFF2-40B4-BE49-F238E27FC236}">
              <a16:creationId xmlns:a16="http://schemas.microsoft.com/office/drawing/2014/main" id="{A32C6911-34B7-4F87-AE0A-D3BCE8B661A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8" name="Shape 11">
          <a:extLst>
            <a:ext uri="{FF2B5EF4-FFF2-40B4-BE49-F238E27FC236}">
              <a16:creationId xmlns:a16="http://schemas.microsoft.com/office/drawing/2014/main" id="{E6AFF9A4-A2CD-4338-A691-6434E36EA04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9" name="Shape 11">
          <a:extLst>
            <a:ext uri="{FF2B5EF4-FFF2-40B4-BE49-F238E27FC236}">
              <a16:creationId xmlns:a16="http://schemas.microsoft.com/office/drawing/2014/main" id="{BCF799FA-E4B4-44A5-BEEC-82DABD67A8A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0" name="Shape 11">
          <a:extLst>
            <a:ext uri="{FF2B5EF4-FFF2-40B4-BE49-F238E27FC236}">
              <a16:creationId xmlns:a16="http://schemas.microsoft.com/office/drawing/2014/main" id="{55E5D9B0-E189-4A12-B1F8-E7ADFFA0F99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1" name="Shape 10">
          <a:extLst>
            <a:ext uri="{FF2B5EF4-FFF2-40B4-BE49-F238E27FC236}">
              <a16:creationId xmlns:a16="http://schemas.microsoft.com/office/drawing/2014/main" id="{27E53A3A-E7C0-46D9-A4B9-8430CBC9702D}"/>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2" name="Shape 11">
          <a:extLst>
            <a:ext uri="{FF2B5EF4-FFF2-40B4-BE49-F238E27FC236}">
              <a16:creationId xmlns:a16="http://schemas.microsoft.com/office/drawing/2014/main" id="{2CC70852-5A55-4FDA-99D9-5038316D009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3" name="Shape 13">
          <a:extLst>
            <a:ext uri="{FF2B5EF4-FFF2-40B4-BE49-F238E27FC236}">
              <a16:creationId xmlns:a16="http://schemas.microsoft.com/office/drawing/2014/main" id="{56A6C8BC-8FB2-4168-A379-13429AC2549A}"/>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4" name="Shape 14">
          <a:extLst>
            <a:ext uri="{FF2B5EF4-FFF2-40B4-BE49-F238E27FC236}">
              <a16:creationId xmlns:a16="http://schemas.microsoft.com/office/drawing/2014/main" id="{F3DB5D56-0640-4801-8571-437006D3352F}"/>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5" name="Shape 10">
          <a:extLst>
            <a:ext uri="{FF2B5EF4-FFF2-40B4-BE49-F238E27FC236}">
              <a16:creationId xmlns:a16="http://schemas.microsoft.com/office/drawing/2014/main" id="{54C6D2EA-58CE-4CC1-9600-159E7B45C761}"/>
            </a:ext>
          </a:extLst>
        </xdr:cNvPr>
        <xdr:cNvSpPr txBox="1"/>
      </xdr:nvSpPr>
      <xdr:spPr>
        <a:xfrm>
          <a:off x="4124325" y="181356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6" name="Shape 14">
          <a:extLst>
            <a:ext uri="{FF2B5EF4-FFF2-40B4-BE49-F238E27FC236}">
              <a16:creationId xmlns:a16="http://schemas.microsoft.com/office/drawing/2014/main" id="{FAEAE57A-11C2-498B-A4FA-AE81F7113874}"/>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7" name="Shape 11">
          <a:extLst>
            <a:ext uri="{FF2B5EF4-FFF2-40B4-BE49-F238E27FC236}">
              <a16:creationId xmlns:a16="http://schemas.microsoft.com/office/drawing/2014/main" id="{8B9084C4-B9AF-416C-90E0-887618FDDE3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8" name="Shape 10">
          <a:extLst>
            <a:ext uri="{FF2B5EF4-FFF2-40B4-BE49-F238E27FC236}">
              <a16:creationId xmlns:a16="http://schemas.microsoft.com/office/drawing/2014/main" id="{F2F8DD23-4D8C-4194-9100-06632B96A33F}"/>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9" name="Shape 11">
          <a:extLst>
            <a:ext uri="{FF2B5EF4-FFF2-40B4-BE49-F238E27FC236}">
              <a16:creationId xmlns:a16="http://schemas.microsoft.com/office/drawing/2014/main" id="{BCBEADE3-D636-4C4E-BDF1-B74F189432B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0" name="Shape 11">
          <a:extLst>
            <a:ext uri="{FF2B5EF4-FFF2-40B4-BE49-F238E27FC236}">
              <a16:creationId xmlns:a16="http://schemas.microsoft.com/office/drawing/2014/main" id="{1ABB6BFD-11A4-4C40-AF61-7669086A90C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1" name="Shape 11">
          <a:extLst>
            <a:ext uri="{FF2B5EF4-FFF2-40B4-BE49-F238E27FC236}">
              <a16:creationId xmlns:a16="http://schemas.microsoft.com/office/drawing/2014/main" id="{35787840-0D08-4E60-A397-AD29C316306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2" name="Shape 11">
          <a:extLst>
            <a:ext uri="{FF2B5EF4-FFF2-40B4-BE49-F238E27FC236}">
              <a16:creationId xmlns:a16="http://schemas.microsoft.com/office/drawing/2014/main" id="{51BB8F4A-AF46-4C54-BB88-079A3D9897C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3" name="Shape 11">
          <a:extLst>
            <a:ext uri="{FF2B5EF4-FFF2-40B4-BE49-F238E27FC236}">
              <a16:creationId xmlns:a16="http://schemas.microsoft.com/office/drawing/2014/main" id="{8F2C1F7C-2675-4156-AE85-BBD34E24C3A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24" name="Shape 10">
          <a:extLst>
            <a:ext uri="{FF2B5EF4-FFF2-40B4-BE49-F238E27FC236}">
              <a16:creationId xmlns:a16="http://schemas.microsoft.com/office/drawing/2014/main" id="{33D11D13-4F69-43D6-8700-6C2E6D112FD7}"/>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5" name="Shape 11">
          <a:extLst>
            <a:ext uri="{FF2B5EF4-FFF2-40B4-BE49-F238E27FC236}">
              <a16:creationId xmlns:a16="http://schemas.microsoft.com/office/drawing/2014/main" id="{DE45AC18-0632-42EA-B786-9078540BC16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6" name="Shape 11">
          <a:extLst>
            <a:ext uri="{FF2B5EF4-FFF2-40B4-BE49-F238E27FC236}">
              <a16:creationId xmlns:a16="http://schemas.microsoft.com/office/drawing/2014/main" id="{ED55D723-C7AA-426B-AE46-C586CEAE301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7" name="Shape 11">
          <a:extLst>
            <a:ext uri="{FF2B5EF4-FFF2-40B4-BE49-F238E27FC236}">
              <a16:creationId xmlns:a16="http://schemas.microsoft.com/office/drawing/2014/main" id="{178F8ED7-181D-48EA-AA44-629B082B418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8" name="Shape 11">
          <a:extLst>
            <a:ext uri="{FF2B5EF4-FFF2-40B4-BE49-F238E27FC236}">
              <a16:creationId xmlns:a16="http://schemas.microsoft.com/office/drawing/2014/main" id="{2B4499E4-FB3A-401F-AFFB-3158BAF201A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9" name="Shape 11">
          <a:extLst>
            <a:ext uri="{FF2B5EF4-FFF2-40B4-BE49-F238E27FC236}">
              <a16:creationId xmlns:a16="http://schemas.microsoft.com/office/drawing/2014/main" id="{68BF52C3-38D7-424C-9BC0-E13D6CFB150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0" name="Shape 10">
          <a:extLst>
            <a:ext uri="{FF2B5EF4-FFF2-40B4-BE49-F238E27FC236}">
              <a16:creationId xmlns:a16="http://schemas.microsoft.com/office/drawing/2014/main" id="{FF2F53A6-9CCF-4698-A5EA-6FD4502E76B9}"/>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1" name="Shape 11">
          <a:extLst>
            <a:ext uri="{FF2B5EF4-FFF2-40B4-BE49-F238E27FC236}">
              <a16:creationId xmlns:a16="http://schemas.microsoft.com/office/drawing/2014/main" id="{075D7999-4B33-4457-95A5-F4DF71B1C56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2" name="Shape 11">
          <a:extLst>
            <a:ext uri="{FF2B5EF4-FFF2-40B4-BE49-F238E27FC236}">
              <a16:creationId xmlns:a16="http://schemas.microsoft.com/office/drawing/2014/main" id="{D2BB80C4-F780-4DF8-A379-B50FC36115C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3" name="Shape 11">
          <a:extLst>
            <a:ext uri="{FF2B5EF4-FFF2-40B4-BE49-F238E27FC236}">
              <a16:creationId xmlns:a16="http://schemas.microsoft.com/office/drawing/2014/main" id="{76B9F8E0-6A4D-4AB5-8E25-7BFD11763E7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4" name="Shape 11">
          <a:extLst>
            <a:ext uri="{FF2B5EF4-FFF2-40B4-BE49-F238E27FC236}">
              <a16:creationId xmlns:a16="http://schemas.microsoft.com/office/drawing/2014/main" id="{BF28821B-3486-4777-8BC5-E6296E1F6FA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5" name="Shape 11">
          <a:extLst>
            <a:ext uri="{FF2B5EF4-FFF2-40B4-BE49-F238E27FC236}">
              <a16:creationId xmlns:a16="http://schemas.microsoft.com/office/drawing/2014/main" id="{716E3CFD-C79C-4A9D-9798-1CA4419E972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6" name="Shape 10">
          <a:extLst>
            <a:ext uri="{FF2B5EF4-FFF2-40B4-BE49-F238E27FC236}">
              <a16:creationId xmlns:a16="http://schemas.microsoft.com/office/drawing/2014/main" id="{898CEEAF-4A56-4C07-B3FF-BBB4383DB3C8}"/>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7" name="Shape 11">
          <a:extLst>
            <a:ext uri="{FF2B5EF4-FFF2-40B4-BE49-F238E27FC236}">
              <a16:creationId xmlns:a16="http://schemas.microsoft.com/office/drawing/2014/main" id="{F457E605-2B0C-4E62-BD8B-019C211C9D6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8" name="Shape 11">
          <a:extLst>
            <a:ext uri="{FF2B5EF4-FFF2-40B4-BE49-F238E27FC236}">
              <a16:creationId xmlns:a16="http://schemas.microsoft.com/office/drawing/2014/main" id="{7880B599-D8DD-4F02-9528-FADDA50581C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9" name="Shape 11">
          <a:extLst>
            <a:ext uri="{FF2B5EF4-FFF2-40B4-BE49-F238E27FC236}">
              <a16:creationId xmlns:a16="http://schemas.microsoft.com/office/drawing/2014/main" id="{01181DCF-4111-48F4-ABEF-E75B8F018DF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0" name="Shape 11">
          <a:extLst>
            <a:ext uri="{FF2B5EF4-FFF2-40B4-BE49-F238E27FC236}">
              <a16:creationId xmlns:a16="http://schemas.microsoft.com/office/drawing/2014/main" id="{7208EB68-4130-4383-9C8E-C0968C059A7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1" name="Shape 11">
          <a:extLst>
            <a:ext uri="{FF2B5EF4-FFF2-40B4-BE49-F238E27FC236}">
              <a16:creationId xmlns:a16="http://schemas.microsoft.com/office/drawing/2014/main" id="{CF3BB47D-83C9-40D0-970E-B463093ECE8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2" name="Shape 10">
          <a:extLst>
            <a:ext uri="{FF2B5EF4-FFF2-40B4-BE49-F238E27FC236}">
              <a16:creationId xmlns:a16="http://schemas.microsoft.com/office/drawing/2014/main" id="{11E50951-94B4-4E59-AFA9-0EAC45C7CA0F}"/>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3" name="Shape 11">
          <a:extLst>
            <a:ext uri="{FF2B5EF4-FFF2-40B4-BE49-F238E27FC236}">
              <a16:creationId xmlns:a16="http://schemas.microsoft.com/office/drawing/2014/main" id="{9E359264-87C6-4D35-958F-103D05ABD23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4" name="Shape 11">
          <a:extLst>
            <a:ext uri="{FF2B5EF4-FFF2-40B4-BE49-F238E27FC236}">
              <a16:creationId xmlns:a16="http://schemas.microsoft.com/office/drawing/2014/main" id="{CE5198BA-AF0A-4DC8-871B-C60A884BB04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5" name="Shape 11">
          <a:extLst>
            <a:ext uri="{FF2B5EF4-FFF2-40B4-BE49-F238E27FC236}">
              <a16:creationId xmlns:a16="http://schemas.microsoft.com/office/drawing/2014/main" id="{16B5F677-C09E-4A7E-A975-76DD9267112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6" name="Shape 11">
          <a:extLst>
            <a:ext uri="{FF2B5EF4-FFF2-40B4-BE49-F238E27FC236}">
              <a16:creationId xmlns:a16="http://schemas.microsoft.com/office/drawing/2014/main" id="{C4E0AE93-FC49-49D2-8C7C-542958E6195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7" name="Shape 11">
          <a:extLst>
            <a:ext uri="{FF2B5EF4-FFF2-40B4-BE49-F238E27FC236}">
              <a16:creationId xmlns:a16="http://schemas.microsoft.com/office/drawing/2014/main" id="{30733C20-06B4-4280-B44F-D878D3F774F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8" name="Shape 10">
          <a:extLst>
            <a:ext uri="{FF2B5EF4-FFF2-40B4-BE49-F238E27FC236}">
              <a16:creationId xmlns:a16="http://schemas.microsoft.com/office/drawing/2014/main" id="{F80A5CD4-A9C3-47E4-848B-E1F0B299FEF0}"/>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9" name="Shape 11">
          <a:extLst>
            <a:ext uri="{FF2B5EF4-FFF2-40B4-BE49-F238E27FC236}">
              <a16:creationId xmlns:a16="http://schemas.microsoft.com/office/drawing/2014/main" id="{0023C0A2-FF9B-49C4-AC33-E31EDA65D1C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0" name="Shape 11">
          <a:extLst>
            <a:ext uri="{FF2B5EF4-FFF2-40B4-BE49-F238E27FC236}">
              <a16:creationId xmlns:a16="http://schemas.microsoft.com/office/drawing/2014/main" id="{73323ED2-53B0-4664-9C91-2105F68F8DF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1" name="Shape 11">
          <a:extLst>
            <a:ext uri="{FF2B5EF4-FFF2-40B4-BE49-F238E27FC236}">
              <a16:creationId xmlns:a16="http://schemas.microsoft.com/office/drawing/2014/main" id="{8EF72643-AD82-480A-8A9C-D6618609625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2" name="Shape 11">
          <a:extLst>
            <a:ext uri="{FF2B5EF4-FFF2-40B4-BE49-F238E27FC236}">
              <a16:creationId xmlns:a16="http://schemas.microsoft.com/office/drawing/2014/main" id="{A2C2015D-4ECE-48AB-A9BE-8624E10D8E1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3" name="Shape 11">
          <a:extLst>
            <a:ext uri="{FF2B5EF4-FFF2-40B4-BE49-F238E27FC236}">
              <a16:creationId xmlns:a16="http://schemas.microsoft.com/office/drawing/2014/main" id="{40FF6E81-604C-4991-A10C-3EE2C6265EB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4" name="Shape 10">
          <a:extLst>
            <a:ext uri="{FF2B5EF4-FFF2-40B4-BE49-F238E27FC236}">
              <a16:creationId xmlns:a16="http://schemas.microsoft.com/office/drawing/2014/main" id="{E684121C-8832-4379-8520-2A7BC98C7EF2}"/>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5" name="Shape 11">
          <a:extLst>
            <a:ext uri="{FF2B5EF4-FFF2-40B4-BE49-F238E27FC236}">
              <a16:creationId xmlns:a16="http://schemas.microsoft.com/office/drawing/2014/main" id="{26406219-8CD6-43DD-A330-76DD6542EF9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6" name="Shape 13">
          <a:extLst>
            <a:ext uri="{FF2B5EF4-FFF2-40B4-BE49-F238E27FC236}">
              <a16:creationId xmlns:a16="http://schemas.microsoft.com/office/drawing/2014/main" id="{DCC28D7A-BF12-436E-B383-557CA45AEB6B}"/>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7" name="Shape 14">
          <a:extLst>
            <a:ext uri="{FF2B5EF4-FFF2-40B4-BE49-F238E27FC236}">
              <a16:creationId xmlns:a16="http://schemas.microsoft.com/office/drawing/2014/main" id="{09DA9CB9-09C5-4D2D-A2D3-F8076DE086A6}"/>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8" name="Shape 10">
          <a:extLst>
            <a:ext uri="{FF2B5EF4-FFF2-40B4-BE49-F238E27FC236}">
              <a16:creationId xmlns:a16="http://schemas.microsoft.com/office/drawing/2014/main" id="{A6CFEA2C-1BE0-4ACC-B6CA-B915330FACF6}"/>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9" name="Shape 12">
          <a:extLst>
            <a:ext uri="{FF2B5EF4-FFF2-40B4-BE49-F238E27FC236}">
              <a16:creationId xmlns:a16="http://schemas.microsoft.com/office/drawing/2014/main" id="{2DFA6E85-8B7E-4588-A44D-B7B440948D86}"/>
            </a:ext>
          </a:extLst>
        </xdr:cNvPr>
        <xdr:cNvSpPr txBox="1"/>
      </xdr:nvSpPr>
      <xdr:spPr>
        <a:xfrm>
          <a:off x="0" y="179736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0" name="Shape 11">
          <a:extLst>
            <a:ext uri="{FF2B5EF4-FFF2-40B4-BE49-F238E27FC236}">
              <a16:creationId xmlns:a16="http://schemas.microsoft.com/office/drawing/2014/main" id="{C98DED96-82DE-4241-80EB-4BA80E3ABDD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1" name="Shape 10">
          <a:extLst>
            <a:ext uri="{FF2B5EF4-FFF2-40B4-BE49-F238E27FC236}">
              <a16:creationId xmlns:a16="http://schemas.microsoft.com/office/drawing/2014/main" id="{BE9DEF54-34D7-42F1-961A-D78B53CF99B7}"/>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2" name="Shape 11">
          <a:extLst>
            <a:ext uri="{FF2B5EF4-FFF2-40B4-BE49-F238E27FC236}">
              <a16:creationId xmlns:a16="http://schemas.microsoft.com/office/drawing/2014/main" id="{BDA90F23-641C-4654-8FC8-2F7773F5914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3" name="Shape 11">
          <a:extLst>
            <a:ext uri="{FF2B5EF4-FFF2-40B4-BE49-F238E27FC236}">
              <a16:creationId xmlns:a16="http://schemas.microsoft.com/office/drawing/2014/main" id="{00D23A19-3624-4DAF-81D2-A134217E5D7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4" name="Shape 11">
          <a:extLst>
            <a:ext uri="{FF2B5EF4-FFF2-40B4-BE49-F238E27FC236}">
              <a16:creationId xmlns:a16="http://schemas.microsoft.com/office/drawing/2014/main" id="{C28786C9-0187-4C0F-A86A-BFC63705591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5" name="Shape 11">
          <a:extLst>
            <a:ext uri="{FF2B5EF4-FFF2-40B4-BE49-F238E27FC236}">
              <a16:creationId xmlns:a16="http://schemas.microsoft.com/office/drawing/2014/main" id="{242606EE-8C5E-4BD1-B3AE-0980D4D9394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6" name="Shape 11">
          <a:extLst>
            <a:ext uri="{FF2B5EF4-FFF2-40B4-BE49-F238E27FC236}">
              <a16:creationId xmlns:a16="http://schemas.microsoft.com/office/drawing/2014/main" id="{ED6E3EDC-1C48-47A2-AA64-68DB9321B4F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7" name="Shape 10">
          <a:extLst>
            <a:ext uri="{FF2B5EF4-FFF2-40B4-BE49-F238E27FC236}">
              <a16:creationId xmlns:a16="http://schemas.microsoft.com/office/drawing/2014/main" id="{5ACECE8F-F998-4BFB-A79C-AA23DEBC42A2}"/>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8" name="Shape 11">
          <a:extLst>
            <a:ext uri="{FF2B5EF4-FFF2-40B4-BE49-F238E27FC236}">
              <a16:creationId xmlns:a16="http://schemas.microsoft.com/office/drawing/2014/main" id="{51A945BE-9F71-4F05-998A-71AA1020841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9" name="Shape 11">
          <a:extLst>
            <a:ext uri="{FF2B5EF4-FFF2-40B4-BE49-F238E27FC236}">
              <a16:creationId xmlns:a16="http://schemas.microsoft.com/office/drawing/2014/main" id="{0107607C-C581-4D22-856F-C0731ECED1A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0" name="Shape 11">
          <a:extLst>
            <a:ext uri="{FF2B5EF4-FFF2-40B4-BE49-F238E27FC236}">
              <a16:creationId xmlns:a16="http://schemas.microsoft.com/office/drawing/2014/main" id="{24EB0603-D760-47C2-A183-0A54EE2432B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1" name="Shape 11">
          <a:extLst>
            <a:ext uri="{FF2B5EF4-FFF2-40B4-BE49-F238E27FC236}">
              <a16:creationId xmlns:a16="http://schemas.microsoft.com/office/drawing/2014/main" id="{DAC6D7B0-C61C-4C7C-831C-AE8F8262037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2" name="Shape 11">
          <a:extLst>
            <a:ext uri="{FF2B5EF4-FFF2-40B4-BE49-F238E27FC236}">
              <a16:creationId xmlns:a16="http://schemas.microsoft.com/office/drawing/2014/main" id="{12F1B815-3129-4F32-B9DD-837AD42A3AA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3" name="Shape 10">
          <a:extLst>
            <a:ext uri="{FF2B5EF4-FFF2-40B4-BE49-F238E27FC236}">
              <a16:creationId xmlns:a16="http://schemas.microsoft.com/office/drawing/2014/main" id="{3244A648-E04B-430D-A488-A5773E99892A}"/>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4" name="Shape 11">
          <a:extLst>
            <a:ext uri="{FF2B5EF4-FFF2-40B4-BE49-F238E27FC236}">
              <a16:creationId xmlns:a16="http://schemas.microsoft.com/office/drawing/2014/main" id="{80E8E6D9-1F33-4E89-945C-8CD5F07B6EF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5" name="Shape 11">
          <a:extLst>
            <a:ext uri="{FF2B5EF4-FFF2-40B4-BE49-F238E27FC236}">
              <a16:creationId xmlns:a16="http://schemas.microsoft.com/office/drawing/2014/main" id="{E3E72F03-37F4-4021-AEB8-01C3A54DAC6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6" name="Shape 11">
          <a:extLst>
            <a:ext uri="{FF2B5EF4-FFF2-40B4-BE49-F238E27FC236}">
              <a16:creationId xmlns:a16="http://schemas.microsoft.com/office/drawing/2014/main" id="{844E9075-68E9-4F51-AD7C-D3B5A9C8162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7" name="Shape 11">
          <a:extLst>
            <a:ext uri="{FF2B5EF4-FFF2-40B4-BE49-F238E27FC236}">
              <a16:creationId xmlns:a16="http://schemas.microsoft.com/office/drawing/2014/main" id="{E2F9E208-6F51-49C9-B570-D228E0D418D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8" name="Shape 11">
          <a:extLst>
            <a:ext uri="{FF2B5EF4-FFF2-40B4-BE49-F238E27FC236}">
              <a16:creationId xmlns:a16="http://schemas.microsoft.com/office/drawing/2014/main" id="{259C9250-444A-4BEC-8FF5-F47EEF2715C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9" name="Shape 10">
          <a:extLst>
            <a:ext uri="{FF2B5EF4-FFF2-40B4-BE49-F238E27FC236}">
              <a16:creationId xmlns:a16="http://schemas.microsoft.com/office/drawing/2014/main" id="{21B41A34-F463-4717-9B7A-AA715EA9CBB9}"/>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0" name="Shape 11">
          <a:extLst>
            <a:ext uri="{FF2B5EF4-FFF2-40B4-BE49-F238E27FC236}">
              <a16:creationId xmlns:a16="http://schemas.microsoft.com/office/drawing/2014/main" id="{EB1008D9-B808-4A28-B406-2E5A17C9357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1" name="Shape 11">
          <a:extLst>
            <a:ext uri="{FF2B5EF4-FFF2-40B4-BE49-F238E27FC236}">
              <a16:creationId xmlns:a16="http://schemas.microsoft.com/office/drawing/2014/main" id="{17BB4D97-04D3-4506-A99E-4F57B69F8F2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2" name="Shape 11">
          <a:extLst>
            <a:ext uri="{FF2B5EF4-FFF2-40B4-BE49-F238E27FC236}">
              <a16:creationId xmlns:a16="http://schemas.microsoft.com/office/drawing/2014/main" id="{B86C952C-1CA7-4521-8BA2-307CEDC6369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3" name="Shape 11">
          <a:extLst>
            <a:ext uri="{FF2B5EF4-FFF2-40B4-BE49-F238E27FC236}">
              <a16:creationId xmlns:a16="http://schemas.microsoft.com/office/drawing/2014/main" id="{96B099A7-4C53-4DC9-9100-2888C2D0887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4" name="Shape 11">
          <a:extLst>
            <a:ext uri="{FF2B5EF4-FFF2-40B4-BE49-F238E27FC236}">
              <a16:creationId xmlns:a16="http://schemas.microsoft.com/office/drawing/2014/main" id="{F9CD4E3D-94D7-4902-8693-7553BFFBDFD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85" name="Shape 10">
          <a:extLst>
            <a:ext uri="{FF2B5EF4-FFF2-40B4-BE49-F238E27FC236}">
              <a16:creationId xmlns:a16="http://schemas.microsoft.com/office/drawing/2014/main" id="{FE8D7044-E461-4F1D-9640-F07BD49D5A64}"/>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6" name="Shape 11">
          <a:extLst>
            <a:ext uri="{FF2B5EF4-FFF2-40B4-BE49-F238E27FC236}">
              <a16:creationId xmlns:a16="http://schemas.microsoft.com/office/drawing/2014/main" id="{4511B737-0103-47D1-9F98-A27346FB34D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7" name="Shape 11">
          <a:extLst>
            <a:ext uri="{FF2B5EF4-FFF2-40B4-BE49-F238E27FC236}">
              <a16:creationId xmlns:a16="http://schemas.microsoft.com/office/drawing/2014/main" id="{A4DD3C85-A887-48B8-B10D-AC684EC766A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8" name="Shape 11">
          <a:extLst>
            <a:ext uri="{FF2B5EF4-FFF2-40B4-BE49-F238E27FC236}">
              <a16:creationId xmlns:a16="http://schemas.microsoft.com/office/drawing/2014/main" id="{EFEF92B8-92A1-4F36-90B4-1A3D7CFC619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9" name="Shape 11">
          <a:extLst>
            <a:ext uri="{FF2B5EF4-FFF2-40B4-BE49-F238E27FC236}">
              <a16:creationId xmlns:a16="http://schemas.microsoft.com/office/drawing/2014/main" id="{5CE91E89-164A-4BA0-8075-2791B8E3DD3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0" name="Shape 11">
          <a:extLst>
            <a:ext uri="{FF2B5EF4-FFF2-40B4-BE49-F238E27FC236}">
              <a16:creationId xmlns:a16="http://schemas.microsoft.com/office/drawing/2014/main" id="{3C340D88-0AC8-4763-8AD2-846993C930E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1" name="Shape 10">
          <a:extLst>
            <a:ext uri="{FF2B5EF4-FFF2-40B4-BE49-F238E27FC236}">
              <a16:creationId xmlns:a16="http://schemas.microsoft.com/office/drawing/2014/main" id="{A7CD4F05-6599-46C2-BC88-D8C0F3125669}"/>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2" name="Shape 11">
          <a:extLst>
            <a:ext uri="{FF2B5EF4-FFF2-40B4-BE49-F238E27FC236}">
              <a16:creationId xmlns:a16="http://schemas.microsoft.com/office/drawing/2014/main" id="{A825B26F-F7AD-458E-9F0C-8696E07C86D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3" name="Shape 11">
          <a:extLst>
            <a:ext uri="{FF2B5EF4-FFF2-40B4-BE49-F238E27FC236}">
              <a16:creationId xmlns:a16="http://schemas.microsoft.com/office/drawing/2014/main" id="{B084242D-6B45-4F63-8906-F3E8614FBAD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4" name="Shape 11">
          <a:extLst>
            <a:ext uri="{FF2B5EF4-FFF2-40B4-BE49-F238E27FC236}">
              <a16:creationId xmlns:a16="http://schemas.microsoft.com/office/drawing/2014/main" id="{C6258421-CB9D-4142-A2F6-A8D22F9AB94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5" name="Shape 11">
          <a:extLst>
            <a:ext uri="{FF2B5EF4-FFF2-40B4-BE49-F238E27FC236}">
              <a16:creationId xmlns:a16="http://schemas.microsoft.com/office/drawing/2014/main" id="{1895AF1E-4BD8-4A4C-A97D-EF9AD32DED0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6" name="Shape 11">
          <a:extLst>
            <a:ext uri="{FF2B5EF4-FFF2-40B4-BE49-F238E27FC236}">
              <a16:creationId xmlns:a16="http://schemas.microsoft.com/office/drawing/2014/main" id="{3967F8B4-9DE8-4E19-BC69-A1E847C3E33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7" name="Shape 10">
          <a:extLst>
            <a:ext uri="{FF2B5EF4-FFF2-40B4-BE49-F238E27FC236}">
              <a16:creationId xmlns:a16="http://schemas.microsoft.com/office/drawing/2014/main" id="{8FCC2AE2-1A42-47AC-9D17-C09F9B57B202}"/>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8" name="Shape 11">
          <a:extLst>
            <a:ext uri="{FF2B5EF4-FFF2-40B4-BE49-F238E27FC236}">
              <a16:creationId xmlns:a16="http://schemas.microsoft.com/office/drawing/2014/main" id="{E6AC7037-67FA-4FAD-B925-842B0F4B735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9" name="Shape 13">
          <a:extLst>
            <a:ext uri="{FF2B5EF4-FFF2-40B4-BE49-F238E27FC236}">
              <a16:creationId xmlns:a16="http://schemas.microsoft.com/office/drawing/2014/main" id="{E2D07827-18AB-446B-A559-C16F8EC42324}"/>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0" name="Shape 14">
          <a:extLst>
            <a:ext uri="{FF2B5EF4-FFF2-40B4-BE49-F238E27FC236}">
              <a16:creationId xmlns:a16="http://schemas.microsoft.com/office/drawing/2014/main" id="{CBFF65BF-406E-47DD-8391-6A3A024A6775}"/>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1" name="Shape 10">
          <a:extLst>
            <a:ext uri="{FF2B5EF4-FFF2-40B4-BE49-F238E27FC236}">
              <a16:creationId xmlns:a16="http://schemas.microsoft.com/office/drawing/2014/main" id="{DF6B1808-D136-424E-B935-3783743AD1B2}"/>
            </a:ext>
          </a:extLst>
        </xdr:cNvPr>
        <xdr:cNvSpPr txBox="1"/>
      </xdr:nvSpPr>
      <xdr:spPr>
        <a:xfrm>
          <a:off x="4124325" y="270414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2" name="Shape 14">
          <a:extLst>
            <a:ext uri="{FF2B5EF4-FFF2-40B4-BE49-F238E27FC236}">
              <a16:creationId xmlns:a16="http://schemas.microsoft.com/office/drawing/2014/main" id="{212DB21A-A5BB-4C54-82F8-CF7DFBF8A4D6}"/>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3" name="Shape 11">
          <a:extLst>
            <a:ext uri="{FF2B5EF4-FFF2-40B4-BE49-F238E27FC236}">
              <a16:creationId xmlns:a16="http://schemas.microsoft.com/office/drawing/2014/main" id="{D9507F7F-17E3-4692-A89E-DA539FDC30B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4" name="Shape 10">
          <a:extLst>
            <a:ext uri="{FF2B5EF4-FFF2-40B4-BE49-F238E27FC236}">
              <a16:creationId xmlns:a16="http://schemas.microsoft.com/office/drawing/2014/main" id="{09C245EC-37FE-4E4E-9C3E-A706F3F48572}"/>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5" name="Shape 11">
          <a:extLst>
            <a:ext uri="{FF2B5EF4-FFF2-40B4-BE49-F238E27FC236}">
              <a16:creationId xmlns:a16="http://schemas.microsoft.com/office/drawing/2014/main" id="{EBC2C472-9C1D-40C4-9C34-9A55C44480FC}"/>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6" name="Shape 11">
          <a:extLst>
            <a:ext uri="{FF2B5EF4-FFF2-40B4-BE49-F238E27FC236}">
              <a16:creationId xmlns:a16="http://schemas.microsoft.com/office/drawing/2014/main" id="{0860E97D-DE6E-40A4-899D-BAADDA25FE4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7" name="Shape 11">
          <a:extLst>
            <a:ext uri="{FF2B5EF4-FFF2-40B4-BE49-F238E27FC236}">
              <a16:creationId xmlns:a16="http://schemas.microsoft.com/office/drawing/2014/main" id="{A32E1076-5CF4-418D-8A13-DD747247146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8" name="Shape 11">
          <a:extLst>
            <a:ext uri="{FF2B5EF4-FFF2-40B4-BE49-F238E27FC236}">
              <a16:creationId xmlns:a16="http://schemas.microsoft.com/office/drawing/2014/main" id="{A948F077-A2D0-403F-BC21-79CA5C98465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9" name="Shape 11">
          <a:extLst>
            <a:ext uri="{FF2B5EF4-FFF2-40B4-BE49-F238E27FC236}">
              <a16:creationId xmlns:a16="http://schemas.microsoft.com/office/drawing/2014/main" id="{CEB822D7-5C03-4C27-9568-2E8466DA010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0" name="Shape 10">
          <a:extLst>
            <a:ext uri="{FF2B5EF4-FFF2-40B4-BE49-F238E27FC236}">
              <a16:creationId xmlns:a16="http://schemas.microsoft.com/office/drawing/2014/main" id="{95395C0E-5DC3-4A6C-BE65-A44358F88BFD}"/>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1" name="Shape 11">
          <a:extLst>
            <a:ext uri="{FF2B5EF4-FFF2-40B4-BE49-F238E27FC236}">
              <a16:creationId xmlns:a16="http://schemas.microsoft.com/office/drawing/2014/main" id="{999D2797-3080-4AE2-8E5E-8AF60EE60E7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2" name="Shape 11">
          <a:extLst>
            <a:ext uri="{FF2B5EF4-FFF2-40B4-BE49-F238E27FC236}">
              <a16:creationId xmlns:a16="http://schemas.microsoft.com/office/drawing/2014/main" id="{94C3DB61-E6EB-46CE-AE3D-6A179411B53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3" name="Shape 11">
          <a:extLst>
            <a:ext uri="{FF2B5EF4-FFF2-40B4-BE49-F238E27FC236}">
              <a16:creationId xmlns:a16="http://schemas.microsoft.com/office/drawing/2014/main" id="{2EDE0A59-ABF1-4282-9409-FE986258B1E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4" name="Shape 11">
          <a:extLst>
            <a:ext uri="{FF2B5EF4-FFF2-40B4-BE49-F238E27FC236}">
              <a16:creationId xmlns:a16="http://schemas.microsoft.com/office/drawing/2014/main" id="{4F88AA26-8328-4A09-93B5-B02F0C17EC4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5" name="Shape 11">
          <a:extLst>
            <a:ext uri="{FF2B5EF4-FFF2-40B4-BE49-F238E27FC236}">
              <a16:creationId xmlns:a16="http://schemas.microsoft.com/office/drawing/2014/main" id="{82094A6F-FFB7-462F-A173-6A4450629FC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6" name="Shape 10">
          <a:extLst>
            <a:ext uri="{FF2B5EF4-FFF2-40B4-BE49-F238E27FC236}">
              <a16:creationId xmlns:a16="http://schemas.microsoft.com/office/drawing/2014/main" id="{E5F4CF85-F7D2-48C6-8401-D8A15BBE6B1E}"/>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7" name="Shape 11">
          <a:extLst>
            <a:ext uri="{FF2B5EF4-FFF2-40B4-BE49-F238E27FC236}">
              <a16:creationId xmlns:a16="http://schemas.microsoft.com/office/drawing/2014/main" id="{C8D337AA-C7D5-48E2-9402-2B01C646F1B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8" name="Shape 11">
          <a:extLst>
            <a:ext uri="{FF2B5EF4-FFF2-40B4-BE49-F238E27FC236}">
              <a16:creationId xmlns:a16="http://schemas.microsoft.com/office/drawing/2014/main" id="{E90B2950-3897-4413-B111-1D1D9FBC1E4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9" name="Shape 11">
          <a:extLst>
            <a:ext uri="{FF2B5EF4-FFF2-40B4-BE49-F238E27FC236}">
              <a16:creationId xmlns:a16="http://schemas.microsoft.com/office/drawing/2014/main" id="{64B5C4B4-D06D-4674-91A4-F3075DC807C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0" name="Shape 11">
          <a:extLst>
            <a:ext uri="{FF2B5EF4-FFF2-40B4-BE49-F238E27FC236}">
              <a16:creationId xmlns:a16="http://schemas.microsoft.com/office/drawing/2014/main" id="{2494F052-55FC-4E4B-B26F-F2C45DE2E8F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1" name="Shape 11">
          <a:extLst>
            <a:ext uri="{FF2B5EF4-FFF2-40B4-BE49-F238E27FC236}">
              <a16:creationId xmlns:a16="http://schemas.microsoft.com/office/drawing/2014/main" id="{209CF3EC-8675-4C27-91DB-D8471C3F4C2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2" name="Shape 10">
          <a:extLst>
            <a:ext uri="{FF2B5EF4-FFF2-40B4-BE49-F238E27FC236}">
              <a16:creationId xmlns:a16="http://schemas.microsoft.com/office/drawing/2014/main" id="{B820AD29-ACB6-43CE-99C3-63FAC5637133}"/>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3" name="Shape 11">
          <a:extLst>
            <a:ext uri="{FF2B5EF4-FFF2-40B4-BE49-F238E27FC236}">
              <a16:creationId xmlns:a16="http://schemas.microsoft.com/office/drawing/2014/main" id="{C11D1A3F-AA7F-4DE2-9889-780200FD53E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4" name="Shape 11">
          <a:extLst>
            <a:ext uri="{FF2B5EF4-FFF2-40B4-BE49-F238E27FC236}">
              <a16:creationId xmlns:a16="http://schemas.microsoft.com/office/drawing/2014/main" id="{F66323F8-FB47-4F9A-A7C3-2271A0DD256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5" name="Shape 11">
          <a:extLst>
            <a:ext uri="{FF2B5EF4-FFF2-40B4-BE49-F238E27FC236}">
              <a16:creationId xmlns:a16="http://schemas.microsoft.com/office/drawing/2014/main" id="{B6E151E5-3F12-4B75-97D0-BF1EC4684C6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6" name="Shape 11">
          <a:extLst>
            <a:ext uri="{FF2B5EF4-FFF2-40B4-BE49-F238E27FC236}">
              <a16:creationId xmlns:a16="http://schemas.microsoft.com/office/drawing/2014/main" id="{4EF726DD-021B-4EFD-9F2B-2AEF9DA7C1F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7" name="Shape 11">
          <a:extLst>
            <a:ext uri="{FF2B5EF4-FFF2-40B4-BE49-F238E27FC236}">
              <a16:creationId xmlns:a16="http://schemas.microsoft.com/office/drawing/2014/main" id="{6AEB1AF4-9BA7-48BE-9D2C-2591993E9F6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8" name="Shape 10">
          <a:extLst>
            <a:ext uri="{FF2B5EF4-FFF2-40B4-BE49-F238E27FC236}">
              <a16:creationId xmlns:a16="http://schemas.microsoft.com/office/drawing/2014/main" id="{4C099332-C855-4D85-A9F2-D98646098385}"/>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9" name="Shape 11">
          <a:extLst>
            <a:ext uri="{FF2B5EF4-FFF2-40B4-BE49-F238E27FC236}">
              <a16:creationId xmlns:a16="http://schemas.microsoft.com/office/drawing/2014/main" id="{F8987B0B-C9B0-4013-88B0-2AFCEE8A1A0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0" name="Shape 11">
          <a:extLst>
            <a:ext uri="{FF2B5EF4-FFF2-40B4-BE49-F238E27FC236}">
              <a16:creationId xmlns:a16="http://schemas.microsoft.com/office/drawing/2014/main" id="{103F64EF-0DF1-4C79-9B85-8BF13732698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1" name="Shape 11">
          <a:extLst>
            <a:ext uri="{FF2B5EF4-FFF2-40B4-BE49-F238E27FC236}">
              <a16:creationId xmlns:a16="http://schemas.microsoft.com/office/drawing/2014/main" id="{FF4134F3-68D2-48A4-B719-C17C8A5991B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2" name="Shape 11">
          <a:extLst>
            <a:ext uri="{FF2B5EF4-FFF2-40B4-BE49-F238E27FC236}">
              <a16:creationId xmlns:a16="http://schemas.microsoft.com/office/drawing/2014/main" id="{D43FC1EF-2F18-4BDE-B3C6-F038108C658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3" name="Shape 11">
          <a:extLst>
            <a:ext uri="{FF2B5EF4-FFF2-40B4-BE49-F238E27FC236}">
              <a16:creationId xmlns:a16="http://schemas.microsoft.com/office/drawing/2014/main" id="{9E075C80-86F6-401A-844F-A7C91C1813C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34" name="Shape 10">
          <a:extLst>
            <a:ext uri="{FF2B5EF4-FFF2-40B4-BE49-F238E27FC236}">
              <a16:creationId xmlns:a16="http://schemas.microsoft.com/office/drawing/2014/main" id="{473951D4-882D-4E72-BB68-E28A48A4436A}"/>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5" name="Shape 11">
          <a:extLst>
            <a:ext uri="{FF2B5EF4-FFF2-40B4-BE49-F238E27FC236}">
              <a16:creationId xmlns:a16="http://schemas.microsoft.com/office/drawing/2014/main" id="{297F2065-1E07-4929-A0C4-40EA89F6EA0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6" name="Shape 11">
          <a:extLst>
            <a:ext uri="{FF2B5EF4-FFF2-40B4-BE49-F238E27FC236}">
              <a16:creationId xmlns:a16="http://schemas.microsoft.com/office/drawing/2014/main" id="{55F9A7CE-FB37-452B-ACB2-0E7A1E90840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7" name="Shape 11">
          <a:extLst>
            <a:ext uri="{FF2B5EF4-FFF2-40B4-BE49-F238E27FC236}">
              <a16:creationId xmlns:a16="http://schemas.microsoft.com/office/drawing/2014/main" id="{C9467200-9ED3-4254-848A-EFB36F57A59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8" name="Shape 11">
          <a:extLst>
            <a:ext uri="{FF2B5EF4-FFF2-40B4-BE49-F238E27FC236}">
              <a16:creationId xmlns:a16="http://schemas.microsoft.com/office/drawing/2014/main" id="{B7A2458B-28F7-4A9B-A3AE-5A3A39EF864C}"/>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9" name="Shape 11">
          <a:extLst>
            <a:ext uri="{FF2B5EF4-FFF2-40B4-BE49-F238E27FC236}">
              <a16:creationId xmlns:a16="http://schemas.microsoft.com/office/drawing/2014/main" id="{4DC8A0B4-1B18-4EC0-95C2-60E065E5382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0" name="Shape 10">
          <a:extLst>
            <a:ext uri="{FF2B5EF4-FFF2-40B4-BE49-F238E27FC236}">
              <a16:creationId xmlns:a16="http://schemas.microsoft.com/office/drawing/2014/main" id="{AD62C911-3DE9-4BC4-A773-C0674BF36130}"/>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1" name="Shape 11">
          <a:extLst>
            <a:ext uri="{FF2B5EF4-FFF2-40B4-BE49-F238E27FC236}">
              <a16:creationId xmlns:a16="http://schemas.microsoft.com/office/drawing/2014/main" id="{52605525-9ADE-468F-9636-6C313CA5907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2" name="Shape 13">
          <a:extLst>
            <a:ext uri="{FF2B5EF4-FFF2-40B4-BE49-F238E27FC236}">
              <a16:creationId xmlns:a16="http://schemas.microsoft.com/office/drawing/2014/main" id="{22BCE453-A2F4-4094-95CB-1A81C5C2C194}"/>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3" name="Shape 14">
          <a:extLst>
            <a:ext uri="{FF2B5EF4-FFF2-40B4-BE49-F238E27FC236}">
              <a16:creationId xmlns:a16="http://schemas.microsoft.com/office/drawing/2014/main" id="{9CB8EEB6-43DB-4040-9CDA-6E46D77FC83F}"/>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4" name="Shape 10">
          <a:extLst>
            <a:ext uri="{FF2B5EF4-FFF2-40B4-BE49-F238E27FC236}">
              <a16:creationId xmlns:a16="http://schemas.microsoft.com/office/drawing/2014/main" id="{A3E07089-2E30-413E-B00D-AF065C510D49}"/>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5" name="Shape 12">
          <a:extLst>
            <a:ext uri="{FF2B5EF4-FFF2-40B4-BE49-F238E27FC236}">
              <a16:creationId xmlns:a16="http://schemas.microsoft.com/office/drawing/2014/main" id="{21527CF5-848A-4765-A10E-D1CA2208D755}"/>
            </a:ext>
          </a:extLst>
        </xdr:cNvPr>
        <xdr:cNvSpPr txBox="1"/>
      </xdr:nvSpPr>
      <xdr:spPr>
        <a:xfrm>
          <a:off x="0" y="268795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6" name="Shape 11">
          <a:extLst>
            <a:ext uri="{FF2B5EF4-FFF2-40B4-BE49-F238E27FC236}">
              <a16:creationId xmlns:a16="http://schemas.microsoft.com/office/drawing/2014/main" id="{015242E9-5960-4EE4-A17C-E3CA5565987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7" name="Shape 10">
          <a:extLst>
            <a:ext uri="{FF2B5EF4-FFF2-40B4-BE49-F238E27FC236}">
              <a16:creationId xmlns:a16="http://schemas.microsoft.com/office/drawing/2014/main" id="{48056345-D651-422F-BB24-0BB6CE2F473E}"/>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8" name="Shape 11">
          <a:extLst>
            <a:ext uri="{FF2B5EF4-FFF2-40B4-BE49-F238E27FC236}">
              <a16:creationId xmlns:a16="http://schemas.microsoft.com/office/drawing/2014/main" id="{06B525DE-B5DB-4894-A36D-80EAAFD5C2C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9" name="Shape 11">
          <a:extLst>
            <a:ext uri="{FF2B5EF4-FFF2-40B4-BE49-F238E27FC236}">
              <a16:creationId xmlns:a16="http://schemas.microsoft.com/office/drawing/2014/main" id="{0FE996D6-3E79-4BEF-A46E-E4E51AEA66E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0" name="Shape 11">
          <a:extLst>
            <a:ext uri="{FF2B5EF4-FFF2-40B4-BE49-F238E27FC236}">
              <a16:creationId xmlns:a16="http://schemas.microsoft.com/office/drawing/2014/main" id="{AD3565EC-0FC0-4691-893C-3A08EF536C0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1" name="Shape 11">
          <a:extLst>
            <a:ext uri="{FF2B5EF4-FFF2-40B4-BE49-F238E27FC236}">
              <a16:creationId xmlns:a16="http://schemas.microsoft.com/office/drawing/2014/main" id="{A61BA104-C771-466D-97A6-393847D72FE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2" name="Shape 11">
          <a:extLst>
            <a:ext uri="{FF2B5EF4-FFF2-40B4-BE49-F238E27FC236}">
              <a16:creationId xmlns:a16="http://schemas.microsoft.com/office/drawing/2014/main" id="{A27EED33-F06F-4BB6-A28B-6E2DC2058C5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3" name="Shape 10">
          <a:extLst>
            <a:ext uri="{FF2B5EF4-FFF2-40B4-BE49-F238E27FC236}">
              <a16:creationId xmlns:a16="http://schemas.microsoft.com/office/drawing/2014/main" id="{6CCFB5ED-1B32-4289-81BE-6EC938202909}"/>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4" name="Shape 11">
          <a:extLst>
            <a:ext uri="{FF2B5EF4-FFF2-40B4-BE49-F238E27FC236}">
              <a16:creationId xmlns:a16="http://schemas.microsoft.com/office/drawing/2014/main" id="{D255939E-BD06-4E42-BADD-531960F33B9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5" name="Shape 11">
          <a:extLst>
            <a:ext uri="{FF2B5EF4-FFF2-40B4-BE49-F238E27FC236}">
              <a16:creationId xmlns:a16="http://schemas.microsoft.com/office/drawing/2014/main" id="{A764A120-4453-43B8-892E-1E6E2679A82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6" name="Shape 11">
          <a:extLst>
            <a:ext uri="{FF2B5EF4-FFF2-40B4-BE49-F238E27FC236}">
              <a16:creationId xmlns:a16="http://schemas.microsoft.com/office/drawing/2014/main" id="{0E494C9A-F146-4192-9D8C-F4D6D96BF94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7" name="Shape 11">
          <a:extLst>
            <a:ext uri="{FF2B5EF4-FFF2-40B4-BE49-F238E27FC236}">
              <a16:creationId xmlns:a16="http://schemas.microsoft.com/office/drawing/2014/main" id="{9BB4A3FE-D56E-4C21-B718-74DF7322947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8" name="Shape 11">
          <a:extLst>
            <a:ext uri="{FF2B5EF4-FFF2-40B4-BE49-F238E27FC236}">
              <a16:creationId xmlns:a16="http://schemas.microsoft.com/office/drawing/2014/main" id="{98FA2AE7-53EB-4BD5-8FC8-BA9D639A255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9" name="Shape 10">
          <a:extLst>
            <a:ext uri="{FF2B5EF4-FFF2-40B4-BE49-F238E27FC236}">
              <a16:creationId xmlns:a16="http://schemas.microsoft.com/office/drawing/2014/main" id="{13CDA95A-07CB-4C37-9108-9735D83AE04B}"/>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0" name="Shape 11">
          <a:extLst>
            <a:ext uri="{FF2B5EF4-FFF2-40B4-BE49-F238E27FC236}">
              <a16:creationId xmlns:a16="http://schemas.microsoft.com/office/drawing/2014/main" id="{1191B31A-4037-4B28-B836-073D41D76D8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1" name="Shape 11">
          <a:extLst>
            <a:ext uri="{FF2B5EF4-FFF2-40B4-BE49-F238E27FC236}">
              <a16:creationId xmlns:a16="http://schemas.microsoft.com/office/drawing/2014/main" id="{69EACD4F-2D71-429B-954E-32ED1B480A2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2" name="Shape 11">
          <a:extLst>
            <a:ext uri="{FF2B5EF4-FFF2-40B4-BE49-F238E27FC236}">
              <a16:creationId xmlns:a16="http://schemas.microsoft.com/office/drawing/2014/main" id="{93B9F0BA-032D-45C5-B0C0-339CE2172DC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3" name="Shape 11">
          <a:extLst>
            <a:ext uri="{FF2B5EF4-FFF2-40B4-BE49-F238E27FC236}">
              <a16:creationId xmlns:a16="http://schemas.microsoft.com/office/drawing/2014/main" id="{3FBB81CE-C3A7-4C0F-B264-9752EA15296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4" name="Shape 11">
          <a:extLst>
            <a:ext uri="{FF2B5EF4-FFF2-40B4-BE49-F238E27FC236}">
              <a16:creationId xmlns:a16="http://schemas.microsoft.com/office/drawing/2014/main" id="{1E01D722-DD67-4D8F-9ED2-E0FE94563F3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65" name="Shape 10">
          <a:extLst>
            <a:ext uri="{FF2B5EF4-FFF2-40B4-BE49-F238E27FC236}">
              <a16:creationId xmlns:a16="http://schemas.microsoft.com/office/drawing/2014/main" id="{A83E4DDA-C763-45AB-ADF3-AF085BDC63B2}"/>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6" name="Shape 11">
          <a:extLst>
            <a:ext uri="{FF2B5EF4-FFF2-40B4-BE49-F238E27FC236}">
              <a16:creationId xmlns:a16="http://schemas.microsoft.com/office/drawing/2014/main" id="{772DF69A-5BD1-4C69-9903-DB81C7FB6DC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7" name="Shape 11">
          <a:extLst>
            <a:ext uri="{FF2B5EF4-FFF2-40B4-BE49-F238E27FC236}">
              <a16:creationId xmlns:a16="http://schemas.microsoft.com/office/drawing/2014/main" id="{0095FED3-FFD6-45FF-8306-3A57AEBAC54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8" name="Shape 11">
          <a:extLst>
            <a:ext uri="{FF2B5EF4-FFF2-40B4-BE49-F238E27FC236}">
              <a16:creationId xmlns:a16="http://schemas.microsoft.com/office/drawing/2014/main" id="{7FB80B42-60AF-41BC-9696-DF3718C9D3D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9" name="Shape 11">
          <a:extLst>
            <a:ext uri="{FF2B5EF4-FFF2-40B4-BE49-F238E27FC236}">
              <a16:creationId xmlns:a16="http://schemas.microsoft.com/office/drawing/2014/main" id="{AC333C1F-1FEA-4E99-92C0-2B0595A20AD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0" name="Shape 11">
          <a:extLst>
            <a:ext uri="{FF2B5EF4-FFF2-40B4-BE49-F238E27FC236}">
              <a16:creationId xmlns:a16="http://schemas.microsoft.com/office/drawing/2014/main" id="{36CDDD9C-5563-4B1D-BC27-52928B78361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1" name="Shape 10">
          <a:extLst>
            <a:ext uri="{FF2B5EF4-FFF2-40B4-BE49-F238E27FC236}">
              <a16:creationId xmlns:a16="http://schemas.microsoft.com/office/drawing/2014/main" id="{9B78EAEE-7BDC-48CB-8294-0697F4EDE8E4}"/>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2" name="Shape 11">
          <a:extLst>
            <a:ext uri="{FF2B5EF4-FFF2-40B4-BE49-F238E27FC236}">
              <a16:creationId xmlns:a16="http://schemas.microsoft.com/office/drawing/2014/main" id="{E025C564-E3BC-4078-A7E2-041A9DA56A1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3" name="Shape 11">
          <a:extLst>
            <a:ext uri="{FF2B5EF4-FFF2-40B4-BE49-F238E27FC236}">
              <a16:creationId xmlns:a16="http://schemas.microsoft.com/office/drawing/2014/main" id="{56533223-BEC5-47AD-A3EF-4A7BA773B1B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4" name="Shape 11">
          <a:extLst>
            <a:ext uri="{FF2B5EF4-FFF2-40B4-BE49-F238E27FC236}">
              <a16:creationId xmlns:a16="http://schemas.microsoft.com/office/drawing/2014/main" id="{72E68799-A034-4E93-BCA7-398F68CA476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5" name="Shape 11">
          <a:extLst>
            <a:ext uri="{FF2B5EF4-FFF2-40B4-BE49-F238E27FC236}">
              <a16:creationId xmlns:a16="http://schemas.microsoft.com/office/drawing/2014/main" id="{5E419D1E-B74C-4852-816E-A5D1D6EAA9D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6" name="Shape 11">
          <a:extLst>
            <a:ext uri="{FF2B5EF4-FFF2-40B4-BE49-F238E27FC236}">
              <a16:creationId xmlns:a16="http://schemas.microsoft.com/office/drawing/2014/main" id="{127B283C-8588-4A49-9D05-84202830D52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7" name="Shape 10">
          <a:extLst>
            <a:ext uri="{FF2B5EF4-FFF2-40B4-BE49-F238E27FC236}">
              <a16:creationId xmlns:a16="http://schemas.microsoft.com/office/drawing/2014/main" id="{4A7B411D-23B4-49EA-AF3F-E38E05F378E6}"/>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8" name="Shape 11">
          <a:extLst>
            <a:ext uri="{FF2B5EF4-FFF2-40B4-BE49-F238E27FC236}">
              <a16:creationId xmlns:a16="http://schemas.microsoft.com/office/drawing/2014/main" id="{ED1FEE7F-89A0-4270-B295-DB8F189F934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9" name="Shape 11">
          <a:extLst>
            <a:ext uri="{FF2B5EF4-FFF2-40B4-BE49-F238E27FC236}">
              <a16:creationId xmlns:a16="http://schemas.microsoft.com/office/drawing/2014/main" id="{AAAF62C3-9596-4B40-B17C-3612B82768C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0" name="Shape 11">
          <a:extLst>
            <a:ext uri="{FF2B5EF4-FFF2-40B4-BE49-F238E27FC236}">
              <a16:creationId xmlns:a16="http://schemas.microsoft.com/office/drawing/2014/main" id="{8944088D-F025-40E5-B32E-1BDD7D11169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1" name="Shape 11">
          <a:extLst>
            <a:ext uri="{FF2B5EF4-FFF2-40B4-BE49-F238E27FC236}">
              <a16:creationId xmlns:a16="http://schemas.microsoft.com/office/drawing/2014/main" id="{5E3CFC40-BC0C-4F13-81D2-7427B19AC1B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2" name="Shape 11">
          <a:extLst>
            <a:ext uri="{FF2B5EF4-FFF2-40B4-BE49-F238E27FC236}">
              <a16:creationId xmlns:a16="http://schemas.microsoft.com/office/drawing/2014/main" id="{02F06916-000C-4D0B-A59D-3DAE52E1850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3" name="Shape 10">
          <a:extLst>
            <a:ext uri="{FF2B5EF4-FFF2-40B4-BE49-F238E27FC236}">
              <a16:creationId xmlns:a16="http://schemas.microsoft.com/office/drawing/2014/main" id="{0E1E217E-C60F-4D70-A402-A52B371873D2}"/>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4" name="Shape 11">
          <a:extLst>
            <a:ext uri="{FF2B5EF4-FFF2-40B4-BE49-F238E27FC236}">
              <a16:creationId xmlns:a16="http://schemas.microsoft.com/office/drawing/2014/main" id="{9988E256-F588-43D6-8D39-2898A8B499E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5" name="Shape 13">
          <a:extLst>
            <a:ext uri="{FF2B5EF4-FFF2-40B4-BE49-F238E27FC236}">
              <a16:creationId xmlns:a16="http://schemas.microsoft.com/office/drawing/2014/main" id="{15AEEBBA-F3C8-4AB0-88F0-960278BBD50F}"/>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6" name="Shape 14">
          <a:extLst>
            <a:ext uri="{FF2B5EF4-FFF2-40B4-BE49-F238E27FC236}">
              <a16:creationId xmlns:a16="http://schemas.microsoft.com/office/drawing/2014/main" id="{CFDC5024-2CA5-4BF8-B911-EFB1DD1D0550}"/>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7" name="Shape 10">
          <a:extLst>
            <a:ext uri="{FF2B5EF4-FFF2-40B4-BE49-F238E27FC236}">
              <a16:creationId xmlns:a16="http://schemas.microsoft.com/office/drawing/2014/main" id="{F4D32BC4-69EF-4C4F-8D94-2976F3CB07D3}"/>
            </a:ext>
          </a:extLst>
        </xdr:cNvPr>
        <xdr:cNvSpPr txBox="1"/>
      </xdr:nvSpPr>
      <xdr:spPr>
        <a:xfrm>
          <a:off x="4124325" y="359473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8" name="Shape 14">
          <a:extLst>
            <a:ext uri="{FF2B5EF4-FFF2-40B4-BE49-F238E27FC236}">
              <a16:creationId xmlns:a16="http://schemas.microsoft.com/office/drawing/2014/main" id="{5C1F4403-34C8-4DB0-86F3-7CE317303AA1}"/>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9" name="Shape 11">
          <a:extLst>
            <a:ext uri="{FF2B5EF4-FFF2-40B4-BE49-F238E27FC236}">
              <a16:creationId xmlns:a16="http://schemas.microsoft.com/office/drawing/2014/main" id="{EC87B642-A31A-4366-ABCD-3E1889A26DD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0" name="Shape 10">
          <a:extLst>
            <a:ext uri="{FF2B5EF4-FFF2-40B4-BE49-F238E27FC236}">
              <a16:creationId xmlns:a16="http://schemas.microsoft.com/office/drawing/2014/main" id="{EAF628B2-1475-4440-A7B5-FB81D936CDD0}"/>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1" name="Shape 11">
          <a:extLst>
            <a:ext uri="{FF2B5EF4-FFF2-40B4-BE49-F238E27FC236}">
              <a16:creationId xmlns:a16="http://schemas.microsoft.com/office/drawing/2014/main" id="{06149748-A6F8-485C-A2E1-53376644B59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2" name="Shape 11">
          <a:extLst>
            <a:ext uri="{FF2B5EF4-FFF2-40B4-BE49-F238E27FC236}">
              <a16:creationId xmlns:a16="http://schemas.microsoft.com/office/drawing/2014/main" id="{31C14B75-836D-410C-9A38-CFA81002B26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3" name="Shape 11">
          <a:extLst>
            <a:ext uri="{FF2B5EF4-FFF2-40B4-BE49-F238E27FC236}">
              <a16:creationId xmlns:a16="http://schemas.microsoft.com/office/drawing/2014/main" id="{5ED107DC-1FFE-4FE9-9928-5C76AC49884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4" name="Shape 11">
          <a:extLst>
            <a:ext uri="{FF2B5EF4-FFF2-40B4-BE49-F238E27FC236}">
              <a16:creationId xmlns:a16="http://schemas.microsoft.com/office/drawing/2014/main" id="{F0896D78-FBC3-4CA1-8CD6-1AC5C0825F6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5" name="Shape 11">
          <a:extLst>
            <a:ext uri="{FF2B5EF4-FFF2-40B4-BE49-F238E27FC236}">
              <a16:creationId xmlns:a16="http://schemas.microsoft.com/office/drawing/2014/main" id="{1A848C2B-BA91-486D-85AB-2BF838E4E39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6" name="Shape 10">
          <a:extLst>
            <a:ext uri="{FF2B5EF4-FFF2-40B4-BE49-F238E27FC236}">
              <a16:creationId xmlns:a16="http://schemas.microsoft.com/office/drawing/2014/main" id="{5156FED0-E75E-46E2-A8C0-F223705C8D56}"/>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7" name="Shape 11">
          <a:extLst>
            <a:ext uri="{FF2B5EF4-FFF2-40B4-BE49-F238E27FC236}">
              <a16:creationId xmlns:a16="http://schemas.microsoft.com/office/drawing/2014/main" id="{BF071F0A-9CB8-4D2B-BB53-1C3F50E1D5F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8" name="Shape 11">
          <a:extLst>
            <a:ext uri="{FF2B5EF4-FFF2-40B4-BE49-F238E27FC236}">
              <a16:creationId xmlns:a16="http://schemas.microsoft.com/office/drawing/2014/main" id="{ECE20B75-1544-41CE-A69C-9FC26D7637C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9" name="Shape 11">
          <a:extLst>
            <a:ext uri="{FF2B5EF4-FFF2-40B4-BE49-F238E27FC236}">
              <a16:creationId xmlns:a16="http://schemas.microsoft.com/office/drawing/2014/main" id="{61BD7A17-12EA-4EBD-B5AE-990E07F528C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0" name="Shape 11">
          <a:extLst>
            <a:ext uri="{FF2B5EF4-FFF2-40B4-BE49-F238E27FC236}">
              <a16:creationId xmlns:a16="http://schemas.microsoft.com/office/drawing/2014/main" id="{0C2E7637-F743-42F1-95F2-D62F3088BF1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1" name="Shape 11">
          <a:extLst>
            <a:ext uri="{FF2B5EF4-FFF2-40B4-BE49-F238E27FC236}">
              <a16:creationId xmlns:a16="http://schemas.microsoft.com/office/drawing/2014/main" id="{6CA8629C-095A-43F8-9494-20FF637089A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2" name="Shape 10">
          <a:extLst>
            <a:ext uri="{FF2B5EF4-FFF2-40B4-BE49-F238E27FC236}">
              <a16:creationId xmlns:a16="http://schemas.microsoft.com/office/drawing/2014/main" id="{BC8DD426-FAF3-49C4-9385-4F55B29F0D35}"/>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3" name="Shape 11">
          <a:extLst>
            <a:ext uri="{FF2B5EF4-FFF2-40B4-BE49-F238E27FC236}">
              <a16:creationId xmlns:a16="http://schemas.microsoft.com/office/drawing/2014/main" id="{3B5CD653-98BE-4AB5-BF84-F0A2A8F294A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4" name="Shape 11">
          <a:extLst>
            <a:ext uri="{FF2B5EF4-FFF2-40B4-BE49-F238E27FC236}">
              <a16:creationId xmlns:a16="http://schemas.microsoft.com/office/drawing/2014/main" id="{CBF4858D-8CF7-46CF-A726-B99A4219224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5" name="Shape 11">
          <a:extLst>
            <a:ext uri="{FF2B5EF4-FFF2-40B4-BE49-F238E27FC236}">
              <a16:creationId xmlns:a16="http://schemas.microsoft.com/office/drawing/2014/main" id="{C742255D-DA49-45F8-B5D1-B5826DF09A2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6" name="Shape 11">
          <a:extLst>
            <a:ext uri="{FF2B5EF4-FFF2-40B4-BE49-F238E27FC236}">
              <a16:creationId xmlns:a16="http://schemas.microsoft.com/office/drawing/2014/main" id="{9EA00B88-85CD-4016-8EAB-490F858CB10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7" name="Shape 11">
          <a:extLst>
            <a:ext uri="{FF2B5EF4-FFF2-40B4-BE49-F238E27FC236}">
              <a16:creationId xmlns:a16="http://schemas.microsoft.com/office/drawing/2014/main" id="{C711AC28-D112-42C3-814C-78E6B077627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8" name="Shape 10">
          <a:extLst>
            <a:ext uri="{FF2B5EF4-FFF2-40B4-BE49-F238E27FC236}">
              <a16:creationId xmlns:a16="http://schemas.microsoft.com/office/drawing/2014/main" id="{DED62EB4-17AD-4582-9C50-CC1A26652DBD}"/>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9" name="Shape 11">
          <a:extLst>
            <a:ext uri="{FF2B5EF4-FFF2-40B4-BE49-F238E27FC236}">
              <a16:creationId xmlns:a16="http://schemas.microsoft.com/office/drawing/2014/main" id="{F5CDB246-928B-4F8C-BC37-7CE604AA81A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0" name="Shape 11">
          <a:extLst>
            <a:ext uri="{FF2B5EF4-FFF2-40B4-BE49-F238E27FC236}">
              <a16:creationId xmlns:a16="http://schemas.microsoft.com/office/drawing/2014/main" id="{C5F6E3C3-F32C-4A3F-9EF8-DAD3765DFF5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1" name="Shape 11">
          <a:extLst>
            <a:ext uri="{FF2B5EF4-FFF2-40B4-BE49-F238E27FC236}">
              <a16:creationId xmlns:a16="http://schemas.microsoft.com/office/drawing/2014/main" id="{5F4CD4D0-A321-4143-A69B-70A25C1EAB6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2" name="Shape 11">
          <a:extLst>
            <a:ext uri="{FF2B5EF4-FFF2-40B4-BE49-F238E27FC236}">
              <a16:creationId xmlns:a16="http://schemas.microsoft.com/office/drawing/2014/main" id="{9DFF6EE4-183B-4792-B345-1CF85D460F5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3" name="Shape 11">
          <a:extLst>
            <a:ext uri="{FF2B5EF4-FFF2-40B4-BE49-F238E27FC236}">
              <a16:creationId xmlns:a16="http://schemas.microsoft.com/office/drawing/2014/main" id="{34B1F67C-4F5C-4F6E-910D-52495EFCADC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14" name="Shape 10">
          <a:extLst>
            <a:ext uri="{FF2B5EF4-FFF2-40B4-BE49-F238E27FC236}">
              <a16:creationId xmlns:a16="http://schemas.microsoft.com/office/drawing/2014/main" id="{4E5844CF-E2E6-407B-870E-92E01B3BBF6D}"/>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5" name="Shape 11">
          <a:extLst>
            <a:ext uri="{FF2B5EF4-FFF2-40B4-BE49-F238E27FC236}">
              <a16:creationId xmlns:a16="http://schemas.microsoft.com/office/drawing/2014/main" id="{03C65C61-705E-44B2-96F0-7662A1F15D1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6" name="Shape 11">
          <a:extLst>
            <a:ext uri="{FF2B5EF4-FFF2-40B4-BE49-F238E27FC236}">
              <a16:creationId xmlns:a16="http://schemas.microsoft.com/office/drawing/2014/main" id="{F1837B9D-6BA9-4854-AEA3-5207217DDDA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7" name="Shape 11">
          <a:extLst>
            <a:ext uri="{FF2B5EF4-FFF2-40B4-BE49-F238E27FC236}">
              <a16:creationId xmlns:a16="http://schemas.microsoft.com/office/drawing/2014/main" id="{926B14E3-4309-48BB-896A-47F219A9C87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8" name="Shape 11">
          <a:extLst>
            <a:ext uri="{FF2B5EF4-FFF2-40B4-BE49-F238E27FC236}">
              <a16:creationId xmlns:a16="http://schemas.microsoft.com/office/drawing/2014/main" id="{CC0A2DF2-C7AB-49C6-8E5C-7302B391877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9" name="Shape 11">
          <a:extLst>
            <a:ext uri="{FF2B5EF4-FFF2-40B4-BE49-F238E27FC236}">
              <a16:creationId xmlns:a16="http://schemas.microsoft.com/office/drawing/2014/main" id="{902972FD-3A0C-4573-98CD-E05A1A96DF5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0" name="Shape 10">
          <a:extLst>
            <a:ext uri="{FF2B5EF4-FFF2-40B4-BE49-F238E27FC236}">
              <a16:creationId xmlns:a16="http://schemas.microsoft.com/office/drawing/2014/main" id="{400152D3-5E5D-4DF3-9BD7-B42AEA842DC3}"/>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1" name="Shape 11">
          <a:extLst>
            <a:ext uri="{FF2B5EF4-FFF2-40B4-BE49-F238E27FC236}">
              <a16:creationId xmlns:a16="http://schemas.microsoft.com/office/drawing/2014/main" id="{43F8B6E2-EB96-4788-8A0D-773FD2F3F14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2" name="Shape 11">
          <a:extLst>
            <a:ext uri="{FF2B5EF4-FFF2-40B4-BE49-F238E27FC236}">
              <a16:creationId xmlns:a16="http://schemas.microsoft.com/office/drawing/2014/main" id="{F0BAE3AE-A7B9-453B-AAF5-3EBD8DAC780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3" name="Shape 11">
          <a:extLst>
            <a:ext uri="{FF2B5EF4-FFF2-40B4-BE49-F238E27FC236}">
              <a16:creationId xmlns:a16="http://schemas.microsoft.com/office/drawing/2014/main" id="{32054E09-5E30-406B-89C5-B6C3C048D04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4" name="Shape 11">
          <a:extLst>
            <a:ext uri="{FF2B5EF4-FFF2-40B4-BE49-F238E27FC236}">
              <a16:creationId xmlns:a16="http://schemas.microsoft.com/office/drawing/2014/main" id="{50A8C4EC-271C-4DA6-9107-9178AD97D41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5" name="Shape 11">
          <a:extLst>
            <a:ext uri="{FF2B5EF4-FFF2-40B4-BE49-F238E27FC236}">
              <a16:creationId xmlns:a16="http://schemas.microsoft.com/office/drawing/2014/main" id="{585C08CE-E60F-441A-8976-3478F99527D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6" name="Shape 10">
          <a:extLst>
            <a:ext uri="{FF2B5EF4-FFF2-40B4-BE49-F238E27FC236}">
              <a16:creationId xmlns:a16="http://schemas.microsoft.com/office/drawing/2014/main" id="{E98ED0A4-290E-453E-A860-FCFC81A7C143}"/>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7" name="Shape 11">
          <a:extLst>
            <a:ext uri="{FF2B5EF4-FFF2-40B4-BE49-F238E27FC236}">
              <a16:creationId xmlns:a16="http://schemas.microsoft.com/office/drawing/2014/main" id="{20ACC51F-3759-477B-B83D-45ABA4B144D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8" name="Shape 13">
          <a:extLst>
            <a:ext uri="{FF2B5EF4-FFF2-40B4-BE49-F238E27FC236}">
              <a16:creationId xmlns:a16="http://schemas.microsoft.com/office/drawing/2014/main" id="{5426170A-2711-4807-BD2F-759855BB3F72}"/>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29" name="Shape 14">
          <a:extLst>
            <a:ext uri="{FF2B5EF4-FFF2-40B4-BE49-F238E27FC236}">
              <a16:creationId xmlns:a16="http://schemas.microsoft.com/office/drawing/2014/main" id="{ECD23D6B-02E5-4271-AFDA-43475774FEB7}"/>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30" name="Shape 10">
          <a:extLst>
            <a:ext uri="{FF2B5EF4-FFF2-40B4-BE49-F238E27FC236}">
              <a16:creationId xmlns:a16="http://schemas.microsoft.com/office/drawing/2014/main" id="{DE313814-C75D-4161-A96F-70B03C200476}"/>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31" name="Shape 12">
          <a:extLst>
            <a:ext uri="{FF2B5EF4-FFF2-40B4-BE49-F238E27FC236}">
              <a16:creationId xmlns:a16="http://schemas.microsoft.com/office/drawing/2014/main" id="{858A0F26-AAEA-4C82-AA8D-D9E311EA5036}"/>
            </a:ext>
          </a:extLst>
        </xdr:cNvPr>
        <xdr:cNvSpPr txBox="1"/>
      </xdr:nvSpPr>
      <xdr:spPr>
        <a:xfrm>
          <a:off x="0" y="357854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29C4EBEA-0674-4CC2-942B-7A2B960BE84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 name="Shape 10">
          <a:extLst>
            <a:ext uri="{FF2B5EF4-FFF2-40B4-BE49-F238E27FC236}">
              <a16:creationId xmlns:a16="http://schemas.microsoft.com/office/drawing/2014/main" id="{0552F1EE-E01E-4C0F-954B-B0763231249B}"/>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A229F49A-563B-4D0B-870E-B792B0A3D8E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3E8AA35C-D54E-4BB5-9BC1-78B5D44F028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A4D88258-F578-49D4-BE86-B66D4A62F13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 name="Shape 11">
          <a:extLst>
            <a:ext uri="{FF2B5EF4-FFF2-40B4-BE49-F238E27FC236}">
              <a16:creationId xmlns:a16="http://schemas.microsoft.com/office/drawing/2014/main" id="{4B4D01ED-091B-434B-B474-78C9C01D37E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21E9DB2D-6898-4A87-BDDC-E79DF550622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9" name="Shape 10">
          <a:extLst>
            <a:ext uri="{FF2B5EF4-FFF2-40B4-BE49-F238E27FC236}">
              <a16:creationId xmlns:a16="http://schemas.microsoft.com/office/drawing/2014/main" id="{BB12BEDB-B9B7-483B-9C25-468A3E7B059C}"/>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0" name="Shape 11">
          <a:extLst>
            <a:ext uri="{FF2B5EF4-FFF2-40B4-BE49-F238E27FC236}">
              <a16:creationId xmlns:a16="http://schemas.microsoft.com/office/drawing/2014/main" id="{74CAF1C4-A998-49A9-8991-D5CC0AAC1EA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9C935BD8-8813-45B9-A502-8AE7D1FF134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4ED42430-39CD-497D-8E71-C96FDD3DAFB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3398D73F-F2C1-4995-B242-05BA0657DEB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28ACCD87-62AC-43FB-A1D1-CC1DCA7C017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47E6CDD8-BFF7-45FD-9CB0-9335F3AA908C}"/>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B252C5C-09A5-47E1-9A98-D3911A0D8AA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34210851-7C9A-47BF-95C2-1F8228F0A9C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4EE80CB9-D7DA-4905-B9AD-1462FE1F2D6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F255360C-BFF1-42A8-B918-BAEF645B38B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61DE985F-17B6-485F-AC54-2B95C5FFDB3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B0C5476-452C-44B3-B2D0-379E8D2C17E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A2BACCBD-E48E-4A09-87FC-2D2A8D6D353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6C49145E-8B11-40A3-A572-52FD511E318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F8B29AD6-DC1C-45A9-B6CB-1F2105CFB3E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16DD66A4-9509-4A54-9BA4-7F41F898045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D72F63C0-E0E6-48E0-BECD-1B97E21A03C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4B322958-5A4C-408C-93D2-6C3BFD0A6E3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28933E6B-188E-46D9-A09B-2E22974A8E0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5A7FB8A-B9BB-4970-ACAD-D18E449E054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82B7EFC1-419C-4723-A558-203D09997D0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F495241B-F5B5-4870-9264-C9690E99C13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E9BD6EA4-575E-4428-9628-ADFB6D21774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BD173F31-4663-4975-BDF9-C9C2C6C0D72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853CA5C5-5D5D-42D1-BADE-2CB1B4A80EF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9374DC41-4D35-48E0-8C42-BEBF2DD4F27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34B5378D-111D-4B13-85AB-57B5DF3AE35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62274459-4CBD-4169-94CB-8E2102A8354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7768AEB9-D567-46CB-AC21-D80C3CB9360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21974E87-59A5-4735-B709-3836BCA12BFA}"/>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7DABFF98-4A70-46A2-94BF-4FD59231549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366048A5-9AA3-45BB-A3C2-EE1FADD13774}"/>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997C8BB1-2B40-4043-8E23-C984E377EFB5}"/>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14289368-49D9-47C9-A2A4-0FA503D2EB67}"/>
            </a:ext>
          </a:extLst>
        </xdr:cNvPr>
        <xdr:cNvSpPr txBox="1"/>
      </xdr:nvSpPr>
      <xdr:spPr>
        <a:xfrm>
          <a:off x="4124325" y="1619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BFA32552-63A2-4DF5-92A0-4E705224436E}"/>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617351C-8FFE-46A3-B155-F2FF04EF668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85CB95FB-B25C-4CCB-AF25-1AB5D454C3F7}"/>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3D6704A3-3E64-49A5-9ACA-B601FC841C2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976E292A-632A-4071-91F1-161D1951794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165D2369-160A-42D7-84EA-FC3591A6282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806994F6-9F5F-4769-AF90-73247E81A31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37305D9A-A586-46BF-9640-C5FC72BB227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C023EA6D-6A06-44BE-BB5D-7693648BF860}"/>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FE676274-FE67-439C-B7FD-94FABF397FA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FC8D621B-098B-4695-8025-0D8F66C4B6F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D53ED999-CC67-4C61-8A2F-A1121DCAF5E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C3B16E19-2E12-4210-AB29-295902D7752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FA939EB1-2F1B-478E-8828-BAF72D472D1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6CA86948-18F8-4187-8391-548C6F3F5F2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ED243C30-0A13-4F84-81DF-AE514C3F4BD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506CC49E-3C78-4D48-A26F-7A0263B27F2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BEE089A7-9089-41DE-B43D-D80DE95CFB6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E5449DAE-9C39-4652-8A56-966F18AE9E9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BE882C02-2BDD-4647-B6DF-1462CE4F33E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DE5BA0D9-0D02-43D7-A760-4F6A7087884B}"/>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289DB978-6117-4165-AB34-84E5CE6BCDC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5F868931-1798-4592-893F-544A3C89094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76F7B945-C496-4F4E-896A-943907BFA61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BF9833D8-EEA0-4B55-8604-B1663C44F93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1EB052CB-D5E7-49C7-A93D-6B1A8E33EF3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A91E0279-13BD-49F5-8A84-DC4643F7EFA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C66AA923-4919-4D80-A914-58024C5B880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17351AAF-5386-4F0D-80EF-65771455B7D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F78966C2-C4E6-4B62-892A-E861D48637B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13264B56-C451-428C-AF52-AF475E28E15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26CBAC7C-2BA0-4D22-BAD0-1148F532DD8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43D0892-235A-411F-93FE-574236383445}"/>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FC132D81-8343-47D6-ADD0-32E08E0BC20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116CFB68-FC8B-4EE0-9320-8A54517DCF6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DD9DB28D-047D-4E83-AF5C-212BA905922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AEF894D1-D436-4928-9DFC-F429511D96C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333165C3-8678-4ED8-97AB-41BD6EE5285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38A512E6-39F8-452B-A429-67CDB990B951}"/>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9E14C6E8-001A-4CDC-8FD6-989BAF30C7F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74E913C-FCFB-4C10-945C-B63FFD0BBFCB}"/>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966CD69A-7ED3-4DA6-BDE3-D2D1A128A3CC}"/>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DA8B78E4-4801-472B-8A79-9A6D4A7A7915}"/>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2DBD4F07-51EB-40DE-8386-E1B0B2B60616}"/>
            </a:ext>
          </a:extLst>
        </xdr:cNvPr>
        <xdr:cNvSpPr txBox="1"/>
      </xdr:nvSpPr>
      <xdr:spPr>
        <a:xfrm>
          <a:off x="0" y="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88" name="Shape 11">
          <a:extLst>
            <a:ext uri="{FF2B5EF4-FFF2-40B4-BE49-F238E27FC236}">
              <a16:creationId xmlns:a16="http://schemas.microsoft.com/office/drawing/2014/main" id="{DFAEEE34-5926-4B11-809C-916A3EFF5F2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89" name="Shape 10">
          <a:extLst>
            <a:ext uri="{FF2B5EF4-FFF2-40B4-BE49-F238E27FC236}">
              <a16:creationId xmlns:a16="http://schemas.microsoft.com/office/drawing/2014/main" id="{B65940C2-1631-4ED8-B782-9DB7492BA05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0" name="Shape 11">
          <a:extLst>
            <a:ext uri="{FF2B5EF4-FFF2-40B4-BE49-F238E27FC236}">
              <a16:creationId xmlns:a16="http://schemas.microsoft.com/office/drawing/2014/main" id="{81A003B1-A79C-4CB9-8CBA-334AE082A00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1" name="Shape 11">
          <a:extLst>
            <a:ext uri="{FF2B5EF4-FFF2-40B4-BE49-F238E27FC236}">
              <a16:creationId xmlns:a16="http://schemas.microsoft.com/office/drawing/2014/main" id="{6D55F19D-7060-4371-9559-5293AD6BDD5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2" name="Shape 11">
          <a:extLst>
            <a:ext uri="{FF2B5EF4-FFF2-40B4-BE49-F238E27FC236}">
              <a16:creationId xmlns:a16="http://schemas.microsoft.com/office/drawing/2014/main" id="{140F073C-5453-4742-B0C3-EBCA5D306B1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3" name="Shape 11">
          <a:extLst>
            <a:ext uri="{FF2B5EF4-FFF2-40B4-BE49-F238E27FC236}">
              <a16:creationId xmlns:a16="http://schemas.microsoft.com/office/drawing/2014/main" id="{9BED9F07-D9BB-44BE-A34B-7961B5B117D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4" name="Shape 11">
          <a:extLst>
            <a:ext uri="{FF2B5EF4-FFF2-40B4-BE49-F238E27FC236}">
              <a16:creationId xmlns:a16="http://schemas.microsoft.com/office/drawing/2014/main" id="{4FB598F6-8C7E-4382-8BBB-A216F4C19FD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95" name="Shape 10">
          <a:extLst>
            <a:ext uri="{FF2B5EF4-FFF2-40B4-BE49-F238E27FC236}">
              <a16:creationId xmlns:a16="http://schemas.microsoft.com/office/drawing/2014/main" id="{5499709F-36BE-44BB-96F2-AD526FF04582}"/>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6" name="Shape 11">
          <a:extLst>
            <a:ext uri="{FF2B5EF4-FFF2-40B4-BE49-F238E27FC236}">
              <a16:creationId xmlns:a16="http://schemas.microsoft.com/office/drawing/2014/main" id="{41FF2022-8B06-4CD2-8F54-D8BEC895871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7" name="Shape 11">
          <a:extLst>
            <a:ext uri="{FF2B5EF4-FFF2-40B4-BE49-F238E27FC236}">
              <a16:creationId xmlns:a16="http://schemas.microsoft.com/office/drawing/2014/main" id="{7BFB5D15-E2ED-48F6-BADE-97E79EC2DA0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8" name="Shape 11">
          <a:extLst>
            <a:ext uri="{FF2B5EF4-FFF2-40B4-BE49-F238E27FC236}">
              <a16:creationId xmlns:a16="http://schemas.microsoft.com/office/drawing/2014/main" id="{80654710-599F-4D64-BBF7-173024C0890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9" name="Shape 11">
          <a:extLst>
            <a:ext uri="{FF2B5EF4-FFF2-40B4-BE49-F238E27FC236}">
              <a16:creationId xmlns:a16="http://schemas.microsoft.com/office/drawing/2014/main" id="{4F73FE43-B898-4AFA-9A4D-9D4C4D76637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0" name="Shape 11">
          <a:extLst>
            <a:ext uri="{FF2B5EF4-FFF2-40B4-BE49-F238E27FC236}">
              <a16:creationId xmlns:a16="http://schemas.microsoft.com/office/drawing/2014/main" id="{5938A6F9-5513-4DA7-BE96-D47814D3235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1" name="Shape 10">
          <a:extLst>
            <a:ext uri="{FF2B5EF4-FFF2-40B4-BE49-F238E27FC236}">
              <a16:creationId xmlns:a16="http://schemas.microsoft.com/office/drawing/2014/main" id="{751F5B6E-8260-4AB4-8A9F-D7F38499695A}"/>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2" name="Shape 11">
          <a:extLst>
            <a:ext uri="{FF2B5EF4-FFF2-40B4-BE49-F238E27FC236}">
              <a16:creationId xmlns:a16="http://schemas.microsoft.com/office/drawing/2014/main" id="{A1040BD1-9770-4140-BCEB-345784B96B4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3" name="Shape 11">
          <a:extLst>
            <a:ext uri="{FF2B5EF4-FFF2-40B4-BE49-F238E27FC236}">
              <a16:creationId xmlns:a16="http://schemas.microsoft.com/office/drawing/2014/main" id="{C3334F83-678E-45C7-9742-3A11B6F6592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4" name="Shape 11">
          <a:extLst>
            <a:ext uri="{FF2B5EF4-FFF2-40B4-BE49-F238E27FC236}">
              <a16:creationId xmlns:a16="http://schemas.microsoft.com/office/drawing/2014/main" id="{81E1099E-BD4D-4A70-AD11-E61240FABBA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5" name="Shape 11">
          <a:extLst>
            <a:ext uri="{FF2B5EF4-FFF2-40B4-BE49-F238E27FC236}">
              <a16:creationId xmlns:a16="http://schemas.microsoft.com/office/drawing/2014/main" id="{080245E0-713E-4590-96A3-185121E0A81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6" name="Shape 11">
          <a:extLst>
            <a:ext uri="{FF2B5EF4-FFF2-40B4-BE49-F238E27FC236}">
              <a16:creationId xmlns:a16="http://schemas.microsoft.com/office/drawing/2014/main" id="{3BAC261D-390F-4EF8-BF54-FFB6E81B315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7" name="Shape 10">
          <a:extLst>
            <a:ext uri="{FF2B5EF4-FFF2-40B4-BE49-F238E27FC236}">
              <a16:creationId xmlns:a16="http://schemas.microsoft.com/office/drawing/2014/main" id="{5F8FF68B-4F1D-417B-BE40-A1365CAC9EE0}"/>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8" name="Shape 11">
          <a:extLst>
            <a:ext uri="{FF2B5EF4-FFF2-40B4-BE49-F238E27FC236}">
              <a16:creationId xmlns:a16="http://schemas.microsoft.com/office/drawing/2014/main" id="{6D409F33-5674-43D9-946C-45F6102FD61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9" name="Shape 11">
          <a:extLst>
            <a:ext uri="{FF2B5EF4-FFF2-40B4-BE49-F238E27FC236}">
              <a16:creationId xmlns:a16="http://schemas.microsoft.com/office/drawing/2014/main" id="{8635F854-913D-482B-8B3A-24C1485BE09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0" name="Shape 11">
          <a:extLst>
            <a:ext uri="{FF2B5EF4-FFF2-40B4-BE49-F238E27FC236}">
              <a16:creationId xmlns:a16="http://schemas.microsoft.com/office/drawing/2014/main" id="{C8E4934E-C8D3-4F61-AC23-E746BF9BF7F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1" name="Shape 11">
          <a:extLst>
            <a:ext uri="{FF2B5EF4-FFF2-40B4-BE49-F238E27FC236}">
              <a16:creationId xmlns:a16="http://schemas.microsoft.com/office/drawing/2014/main" id="{6FAD0B5C-30B9-4C4C-9DC4-E3BCFBD9BB5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2" name="Shape 11">
          <a:extLst>
            <a:ext uri="{FF2B5EF4-FFF2-40B4-BE49-F238E27FC236}">
              <a16:creationId xmlns:a16="http://schemas.microsoft.com/office/drawing/2014/main" id="{E47593D3-1936-406E-8103-80C771AC45D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3" name="Shape 10">
          <a:extLst>
            <a:ext uri="{FF2B5EF4-FFF2-40B4-BE49-F238E27FC236}">
              <a16:creationId xmlns:a16="http://schemas.microsoft.com/office/drawing/2014/main" id="{4DB19C0A-A65E-4CB7-A5DC-90B2D1CE98F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4" name="Shape 11">
          <a:extLst>
            <a:ext uri="{FF2B5EF4-FFF2-40B4-BE49-F238E27FC236}">
              <a16:creationId xmlns:a16="http://schemas.microsoft.com/office/drawing/2014/main" id="{287C6306-600F-49BE-B9E5-ED0B7760508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5" name="Shape 11">
          <a:extLst>
            <a:ext uri="{FF2B5EF4-FFF2-40B4-BE49-F238E27FC236}">
              <a16:creationId xmlns:a16="http://schemas.microsoft.com/office/drawing/2014/main" id="{B0D7CECC-6829-425E-BC2F-DE460347ABB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6" name="Shape 11">
          <a:extLst>
            <a:ext uri="{FF2B5EF4-FFF2-40B4-BE49-F238E27FC236}">
              <a16:creationId xmlns:a16="http://schemas.microsoft.com/office/drawing/2014/main" id="{B114B84E-9EC5-4FCC-A92D-D76D07A4BC1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7" name="Shape 11">
          <a:extLst>
            <a:ext uri="{FF2B5EF4-FFF2-40B4-BE49-F238E27FC236}">
              <a16:creationId xmlns:a16="http://schemas.microsoft.com/office/drawing/2014/main" id="{2EC9637D-94C5-491D-BA8B-22F3D30A5BB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8" name="Shape 11">
          <a:extLst>
            <a:ext uri="{FF2B5EF4-FFF2-40B4-BE49-F238E27FC236}">
              <a16:creationId xmlns:a16="http://schemas.microsoft.com/office/drawing/2014/main" id="{76430751-EDC6-4E47-98D0-C1DF9ECEF03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9" name="Shape 10">
          <a:extLst>
            <a:ext uri="{FF2B5EF4-FFF2-40B4-BE49-F238E27FC236}">
              <a16:creationId xmlns:a16="http://schemas.microsoft.com/office/drawing/2014/main" id="{15E8470D-875C-44F5-8B54-57D9C53B3E6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0" name="Shape 11">
          <a:extLst>
            <a:ext uri="{FF2B5EF4-FFF2-40B4-BE49-F238E27FC236}">
              <a16:creationId xmlns:a16="http://schemas.microsoft.com/office/drawing/2014/main" id="{9E25A685-0229-4F14-A74C-2AD3233B9D7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1" name="Shape 11">
          <a:extLst>
            <a:ext uri="{FF2B5EF4-FFF2-40B4-BE49-F238E27FC236}">
              <a16:creationId xmlns:a16="http://schemas.microsoft.com/office/drawing/2014/main" id="{2F425E32-4C92-4452-A05B-A4CC8B24AF1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2" name="Shape 11">
          <a:extLst>
            <a:ext uri="{FF2B5EF4-FFF2-40B4-BE49-F238E27FC236}">
              <a16:creationId xmlns:a16="http://schemas.microsoft.com/office/drawing/2014/main" id="{E67023DA-81C4-43DE-B3E8-EBACAC715F2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3" name="Shape 11">
          <a:extLst>
            <a:ext uri="{FF2B5EF4-FFF2-40B4-BE49-F238E27FC236}">
              <a16:creationId xmlns:a16="http://schemas.microsoft.com/office/drawing/2014/main" id="{75094D52-F9DB-4777-868E-C74DEF35700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4" name="Shape 11">
          <a:extLst>
            <a:ext uri="{FF2B5EF4-FFF2-40B4-BE49-F238E27FC236}">
              <a16:creationId xmlns:a16="http://schemas.microsoft.com/office/drawing/2014/main" id="{9C163C0F-3B94-4A0A-A78F-C1C8993E064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5" name="Shape 10">
          <a:extLst>
            <a:ext uri="{FF2B5EF4-FFF2-40B4-BE49-F238E27FC236}">
              <a16:creationId xmlns:a16="http://schemas.microsoft.com/office/drawing/2014/main" id="{A3036B9F-77FD-47E0-8192-685FACF7BE0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6" name="Shape 11">
          <a:extLst>
            <a:ext uri="{FF2B5EF4-FFF2-40B4-BE49-F238E27FC236}">
              <a16:creationId xmlns:a16="http://schemas.microsoft.com/office/drawing/2014/main" id="{C82032E2-0DC3-41DC-A6D7-16B11D4B639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7" name="Shape 13">
          <a:extLst>
            <a:ext uri="{FF2B5EF4-FFF2-40B4-BE49-F238E27FC236}">
              <a16:creationId xmlns:a16="http://schemas.microsoft.com/office/drawing/2014/main" id="{08C2F28D-5686-4EB3-86ED-4239D1846686}"/>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28" name="Shape 14">
          <a:extLst>
            <a:ext uri="{FF2B5EF4-FFF2-40B4-BE49-F238E27FC236}">
              <a16:creationId xmlns:a16="http://schemas.microsoft.com/office/drawing/2014/main" id="{FBF68E53-4A84-4B7D-8561-902739EA73C1}"/>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9" name="Shape 10">
          <a:extLst>
            <a:ext uri="{FF2B5EF4-FFF2-40B4-BE49-F238E27FC236}">
              <a16:creationId xmlns:a16="http://schemas.microsoft.com/office/drawing/2014/main" id="{9006815A-4B15-4062-8D68-426CABC4A2F9}"/>
            </a:ext>
          </a:extLst>
        </xdr:cNvPr>
        <xdr:cNvSpPr txBox="1"/>
      </xdr:nvSpPr>
      <xdr:spPr>
        <a:xfrm>
          <a:off x="4124325" y="90678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30" name="Shape 14">
          <a:extLst>
            <a:ext uri="{FF2B5EF4-FFF2-40B4-BE49-F238E27FC236}">
              <a16:creationId xmlns:a16="http://schemas.microsoft.com/office/drawing/2014/main" id="{86D632E3-56DA-4F0F-B222-54C56FF5C49C}"/>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1" name="Shape 11">
          <a:extLst>
            <a:ext uri="{FF2B5EF4-FFF2-40B4-BE49-F238E27FC236}">
              <a16:creationId xmlns:a16="http://schemas.microsoft.com/office/drawing/2014/main" id="{AC40AFF7-321C-4BD0-AD4B-4073D940F3D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2" name="Shape 10">
          <a:extLst>
            <a:ext uri="{FF2B5EF4-FFF2-40B4-BE49-F238E27FC236}">
              <a16:creationId xmlns:a16="http://schemas.microsoft.com/office/drawing/2014/main" id="{3B7D2C89-E553-4257-9551-F99E2F191AF8}"/>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3" name="Shape 11">
          <a:extLst>
            <a:ext uri="{FF2B5EF4-FFF2-40B4-BE49-F238E27FC236}">
              <a16:creationId xmlns:a16="http://schemas.microsoft.com/office/drawing/2014/main" id="{E1DDC593-3CE1-41CD-8D18-4592D4B04F8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4" name="Shape 11">
          <a:extLst>
            <a:ext uri="{FF2B5EF4-FFF2-40B4-BE49-F238E27FC236}">
              <a16:creationId xmlns:a16="http://schemas.microsoft.com/office/drawing/2014/main" id="{B2775C42-5970-464B-85C5-4BBEA0B9F35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5" name="Shape 11">
          <a:extLst>
            <a:ext uri="{FF2B5EF4-FFF2-40B4-BE49-F238E27FC236}">
              <a16:creationId xmlns:a16="http://schemas.microsoft.com/office/drawing/2014/main" id="{17B5AEFB-8BA9-4F71-B0F0-A154CC3A362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6" name="Shape 11">
          <a:extLst>
            <a:ext uri="{FF2B5EF4-FFF2-40B4-BE49-F238E27FC236}">
              <a16:creationId xmlns:a16="http://schemas.microsoft.com/office/drawing/2014/main" id="{E102F39E-8C1F-4A7F-93D5-01F81D9BD25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7" name="Shape 11">
          <a:extLst>
            <a:ext uri="{FF2B5EF4-FFF2-40B4-BE49-F238E27FC236}">
              <a16:creationId xmlns:a16="http://schemas.microsoft.com/office/drawing/2014/main" id="{18EF81D0-D46B-471C-B3A5-34D726E5727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8" name="Shape 10">
          <a:extLst>
            <a:ext uri="{FF2B5EF4-FFF2-40B4-BE49-F238E27FC236}">
              <a16:creationId xmlns:a16="http://schemas.microsoft.com/office/drawing/2014/main" id="{F3C57F16-4271-4957-A53D-BC23DEF7C91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9" name="Shape 11">
          <a:extLst>
            <a:ext uri="{FF2B5EF4-FFF2-40B4-BE49-F238E27FC236}">
              <a16:creationId xmlns:a16="http://schemas.microsoft.com/office/drawing/2014/main" id="{FB5D97B6-2622-41C4-A27D-A1B70EA6043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0" name="Shape 11">
          <a:extLst>
            <a:ext uri="{FF2B5EF4-FFF2-40B4-BE49-F238E27FC236}">
              <a16:creationId xmlns:a16="http://schemas.microsoft.com/office/drawing/2014/main" id="{825E51E3-BAE9-40AB-9A80-E4C533B9156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1" name="Shape 11">
          <a:extLst>
            <a:ext uri="{FF2B5EF4-FFF2-40B4-BE49-F238E27FC236}">
              <a16:creationId xmlns:a16="http://schemas.microsoft.com/office/drawing/2014/main" id="{B8F57E18-6838-4A40-AA0C-FC16570A0AA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2" name="Shape 11">
          <a:extLst>
            <a:ext uri="{FF2B5EF4-FFF2-40B4-BE49-F238E27FC236}">
              <a16:creationId xmlns:a16="http://schemas.microsoft.com/office/drawing/2014/main" id="{3FAE896A-97B6-426A-981B-B1E50EBDA63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3" name="Shape 11">
          <a:extLst>
            <a:ext uri="{FF2B5EF4-FFF2-40B4-BE49-F238E27FC236}">
              <a16:creationId xmlns:a16="http://schemas.microsoft.com/office/drawing/2014/main" id="{8E68E22D-2994-4157-A792-E8D34CCE70A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44" name="Shape 10">
          <a:extLst>
            <a:ext uri="{FF2B5EF4-FFF2-40B4-BE49-F238E27FC236}">
              <a16:creationId xmlns:a16="http://schemas.microsoft.com/office/drawing/2014/main" id="{567F19F5-5E3D-4F57-94BA-558728FA3EEF}"/>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5" name="Shape 11">
          <a:extLst>
            <a:ext uri="{FF2B5EF4-FFF2-40B4-BE49-F238E27FC236}">
              <a16:creationId xmlns:a16="http://schemas.microsoft.com/office/drawing/2014/main" id="{3C5A630D-C07E-46AD-B5C7-5490DAD852D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6" name="Shape 11">
          <a:extLst>
            <a:ext uri="{FF2B5EF4-FFF2-40B4-BE49-F238E27FC236}">
              <a16:creationId xmlns:a16="http://schemas.microsoft.com/office/drawing/2014/main" id="{8BB9E0C6-B779-4607-A94A-A9B627DAFD5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7" name="Shape 11">
          <a:extLst>
            <a:ext uri="{FF2B5EF4-FFF2-40B4-BE49-F238E27FC236}">
              <a16:creationId xmlns:a16="http://schemas.microsoft.com/office/drawing/2014/main" id="{79CE6FF4-9CD5-4CB8-826A-C7053969711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8" name="Shape 11">
          <a:extLst>
            <a:ext uri="{FF2B5EF4-FFF2-40B4-BE49-F238E27FC236}">
              <a16:creationId xmlns:a16="http://schemas.microsoft.com/office/drawing/2014/main" id="{CAF31F8D-892A-4E3F-8D7F-BC57B5D17D3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9" name="Shape 11">
          <a:extLst>
            <a:ext uri="{FF2B5EF4-FFF2-40B4-BE49-F238E27FC236}">
              <a16:creationId xmlns:a16="http://schemas.microsoft.com/office/drawing/2014/main" id="{F4BC4923-BA7A-4B58-91BC-475163A3474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0" name="Shape 10">
          <a:extLst>
            <a:ext uri="{FF2B5EF4-FFF2-40B4-BE49-F238E27FC236}">
              <a16:creationId xmlns:a16="http://schemas.microsoft.com/office/drawing/2014/main" id="{886E2F31-AE15-4FA9-A71A-84BFD79FD724}"/>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1" name="Shape 11">
          <a:extLst>
            <a:ext uri="{FF2B5EF4-FFF2-40B4-BE49-F238E27FC236}">
              <a16:creationId xmlns:a16="http://schemas.microsoft.com/office/drawing/2014/main" id="{8422FF62-8D9F-4F1B-A9C9-43B934249AF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2" name="Shape 11">
          <a:extLst>
            <a:ext uri="{FF2B5EF4-FFF2-40B4-BE49-F238E27FC236}">
              <a16:creationId xmlns:a16="http://schemas.microsoft.com/office/drawing/2014/main" id="{88A31A9F-C8C3-4E71-96DF-3F8EDEC6129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3" name="Shape 11">
          <a:extLst>
            <a:ext uri="{FF2B5EF4-FFF2-40B4-BE49-F238E27FC236}">
              <a16:creationId xmlns:a16="http://schemas.microsoft.com/office/drawing/2014/main" id="{FE917BE5-93D6-4AE5-AB55-00CCCEDF1EE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4" name="Shape 11">
          <a:extLst>
            <a:ext uri="{FF2B5EF4-FFF2-40B4-BE49-F238E27FC236}">
              <a16:creationId xmlns:a16="http://schemas.microsoft.com/office/drawing/2014/main" id="{9FDA01F4-F31E-4D19-BA24-EFC2EB4DFB4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5" name="Shape 11">
          <a:extLst>
            <a:ext uri="{FF2B5EF4-FFF2-40B4-BE49-F238E27FC236}">
              <a16:creationId xmlns:a16="http://schemas.microsoft.com/office/drawing/2014/main" id="{88157620-241F-4C8C-9FA8-279C62002DF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6" name="Shape 10">
          <a:extLst>
            <a:ext uri="{FF2B5EF4-FFF2-40B4-BE49-F238E27FC236}">
              <a16:creationId xmlns:a16="http://schemas.microsoft.com/office/drawing/2014/main" id="{72E4F37E-0955-401B-9DCE-85EF812A135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7" name="Shape 11">
          <a:extLst>
            <a:ext uri="{FF2B5EF4-FFF2-40B4-BE49-F238E27FC236}">
              <a16:creationId xmlns:a16="http://schemas.microsoft.com/office/drawing/2014/main" id="{BCC42F5B-B170-4A97-9429-5A201BF7D3A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8" name="Shape 11">
          <a:extLst>
            <a:ext uri="{FF2B5EF4-FFF2-40B4-BE49-F238E27FC236}">
              <a16:creationId xmlns:a16="http://schemas.microsoft.com/office/drawing/2014/main" id="{EC5D8768-A200-4D96-963C-1E26409E12A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9" name="Shape 11">
          <a:extLst>
            <a:ext uri="{FF2B5EF4-FFF2-40B4-BE49-F238E27FC236}">
              <a16:creationId xmlns:a16="http://schemas.microsoft.com/office/drawing/2014/main" id="{35D7150A-11B8-4059-A4DA-1A571737191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0" name="Shape 11">
          <a:extLst>
            <a:ext uri="{FF2B5EF4-FFF2-40B4-BE49-F238E27FC236}">
              <a16:creationId xmlns:a16="http://schemas.microsoft.com/office/drawing/2014/main" id="{684DC3AA-1039-4383-87BD-F187262C423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1" name="Shape 11">
          <a:extLst>
            <a:ext uri="{FF2B5EF4-FFF2-40B4-BE49-F238E27FC236}">
              <a16:creationId xmlns:a16="http://schemas.microsoft.com/office/drawing/2014/main" id="{EC168777-4E2E-429F-BEAD-51E5656A73C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2" name="Shape 10">
          <a:extLst>
            <a:ext uri="{FF2B5EF4-FFF2-40B4-BE49-F238E27FC236}">
              <a16:creationId xmlns:a16="http://schemas.microsoft.com/office/drawing/2014/main" id="{A87F92DF-4A48-420C-9F71-8B79553948A1}"/>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3" name="Shape 11">
          <a:extLst>
            <a:ext uri="{FF2B5EF4-FFF2-40B4-BE49-F238E27FC236}">
              <a16:creationId xmlns:a16="http://schemas.microsoft.com/office/drawing/2014/main" id="{486837B3-18EA-4F6C-B370-AD31FF6A8AB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4" name="Shape 11">
          <a:extLst>
            <a:ext uri="{FF2B5EF4-FFF2-40B4-BE49-F238E27FC236}">
              <a16:creationId xmlns:a16="http://schemas.microsoft.com/office/drawing/2014/main" id="{66A314F7-879E-42AB-81BE-ECC0A89E7C5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5" name="Shape 11">
          <a:extLst>
            <a:ext uri="{FF2B5EF4-FFF2-40B4-BE49-F238E27FC236}">
              <a16:creationId xmlns:a16="http://schemas.microsoft.com/office/drawing/2014/main" id="{1619695E-BA98-4ABA-9492-94E761D07D6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6" name="Shape 11">
          <a:extLst>
            <a:ext uri="{FF2B5EF4-FFF2-40B4-BE49-F238E27FC236}">
              <a16:creationId xmlns:a16="http://schemas.microsoft.com/office/drawing/2014/main" id="{B703621A-1FD5-4C06-AAC1-3EB90D9708B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7" name="Shape 11">
          <a:extLst>
            <a:ext uri="{FF2B5EF4-FFF2-40B4-BE49-F238E27FC236}">
              <a16:creationId xmlns:a16="http://schemas.microsoft.com/office/drawing/2014/main" id="{26A0F515-D675-4F60-9412-6BDBCE4F7EC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8" name="Shape 10">
          <a:extLst>
            <a:ext uri="{FF2B5EF4-FFF2-40B4-BE49-F238E27FC236}">
              <a16:creationId xmlns:a16="http://schemas.microsoft.com/office/drawing/2014/main" id="{96D23413-0A7A-4D0C-820E-5C7588BA729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9" name="Shape 11">
          <a:extLst>
            <a:ext uri="{FF2B5EF4-FFF2-40B4-BE49-F238E27FC236}">
              <a16:creationId xmlns:a16="http://schemas.microsoft.com/office/drawing/2014/main" id="{ADED58A4-14EF-4B03-ABD0-7A130019C40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0" name="Shape 13">
          <a:extLst>
            <a:ext uri="{FF2B5EF4-FFF2-40B4-BE49-F238E27FC236}">
              <a16:creationId xmlns:a16="http://schemas.microsoft.com/office/drawing/2014/main" id="{4CC20990-5A7C-4660-B974-FA954EEA10CF}"/>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1" name="Shape 14">
          <a:extLst>
            <a:ext uri="{FF2B5EF4-FFF2-40B4-BE49-F238E27FC236}">
              <a16:creationId xmlns:a16="http://schemas.microsoft.com/office/drawing/2014/main" id="{9EEA0335-6A3A-4419-BE2F-F223F43CAB5B}"/>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2" name="Shape 10">
          <a:extLst>
            <a:ext uri="{FF2B5EF4-FFF2-40B4-BE49-F238E27FC236}">
              <a16:creationId xmlns:a16="http://schemas.microsoft.com/office/drawing/2014/main" id="{B6FCB1AF-E09F-42B2-A04E-0735B4245068}"/>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3" name="Shape 12">
          <a:extLst>
            <a:ext uri="{FF2B5EF4-FFF2-40B4-BE49-F238E27FC236}">
              <a16:creationId xmlns:a16="http://schemas.microsoft.com/office/drawing/2014/main" id="{72EDD85A-DB39-412D-A97F-E33F0C6FBA18}"/>
            </a:ext>
          </a:extLst>
        </xdr:cNvPr>
        <xdr:cNvSpPr txBox="1"/>
      </xdr:nvSpPr>
      <xdr:spPr>
        <a:xfrm>
          <a:off x="0" y="89058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4" name="Shape 11">
          <a:extLst>
            <a:ext uri="{FF2B5EF4-FFF2-40B4-BE49-F238E27FC236}">
              <a16:creationId xmlns:a16="http://schemas.microsoft.com/office/drawing/2014/main" id="{F53D978A-FD54-4A20-8B4E-1EEAAAC2525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5" name="Shape 10">
          <a:extLst>
            <a:ext uri="{FF2B5EF4-FFF2-40B4-BE49-F238E27FC236}">
              <a16:creationId xmlns:a16="http://schemas.microsoft.com/office/drawing/2014/main" id="{367C54CC-B774-4B25-9EE5-AA36DFCBE25F}"/>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6" name="Shape 11">
          <a:extLst>
            <a:ext uri="{FF2B5EF4-FFF2-40B4-BE49-F238E27FC236}">
              <a16:creationId xmlns:a16="http://schemas.microsoft.com/office/drawing/2014/main" id="{4D45D395-A597-4ADF-92F3-E71AA543768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7" name="Shape 11">
          <a:extLst>
            <a:ext uri="{FF2B5EF4-FFF2-40B4-BE49-F238E27FC236}">
              <a16:creationId xmlns:a16="http://schemas.microsoft.com/office/drawing/2014/main" id="{7BBF03CB-FBDA-4DD5-A432-BD3A8D0E823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8" name="Shape 11">
          <a:extLst>
            <a:ext uri="{FF2B5EF4-FFF2-40B4-BE49-F238E27FC236}">
              <a16:creationId xmlns:a16="http://schemas.microsoft.com/office/drawing/2014/main" id="{09C7E9B0-9EEF-4696-A724-0CC86205B66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9" name="Shape 11">
          <a:extLst>
            <a:ext uri="{FF2B5EF4-FFF2-40B4-BE49-F238E27FC236}">
              <a16:creationId xmlns:a16="http://schemas.microsoft.com/office/drawing/2014/main" id="{3658E2CD-EEFF-4805-A2F9-F9FA332C0A1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0" name="Shape 11">
          <a:extLst>
            <a:ext uri="{FF2B5EF4-FFF2-40B4-BE49-F238E27FC236}">
              <a16:creationId xmlns:a16="http://schemas.microsoft.com/office/drawing/2014/main" id="{29738F56-9F4D-413B-9551-A1CBE34C25A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1" name="Shape 10">
          <a:extLst>
            <a:ext uri="{FF2B5EF4-FFF2-40B4-BE49-F238E27FC236}">
              <a16:creationId xmlns:a16="http://schemas.microsoft.com/office/drawing/2014/main" id="{75FC053F-8E69-49E1-8730-B8D3BC25BB57}"/>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2" name="Shape 11">
          <a:extLst>
            <a:ext uri="{FF2B5EF4-FFF2-40B4-BE49-F238E27FC236}">
              <a16:creationId xmlns:a16="http://schemas.microsoft.com/office/drawing/2014/main" id="{454BC452-D5DC-48A1-9525-690C5FE9740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3" name="Shape 11">
          <a:extLst>
            <a:ext uri="{FF2B5EF4-FFF2-40B4-BE49-F238E27FC236}">
              <a16:creationId xmlns:a16="http://schemas.microsoft.com/office/drawing/2014/main" id="{4D2F67C6-B955-4FB2-BEF1-71408F4D6B4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4" name="Shape 11">
          <a:extLst>
            <a:ext uri="{FF2B5EF4-FFF2-40B4-BE49-F238E27FC236}">
              <a16:creationId xmlns:a16="http://schemas.microsoft.com/office/drawing/2014/main" id="{2E9BF505-A3E9-498F-AD7C-12CC4B3A699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5" name="Shape 11">
          <a:extLst>
            <a:ext uri="{FF2B5EF4-FFF2-40B4-BE49-F238E27FC236}">
              <a16:creationId xmlns:a16="http://schemas.microsoft.com/office/drawing/2014/main" id="{38B2C0B6-A708-49C1-A762-A99BAF5EA4A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6" name="Shape 11">
          <a:extLst>
            <a:ext uri="{FF2B5EF4-FFF2-40B4-BE49-F238E27FC236}">
              <a16:creationId xmlns:a16="http://schemas.microsoft.com/office/drawing/2014/main" id="{FA18341B-0EB4-472F-B81C-EAEE1DBFB0B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7" name="Shape 10">
          <a:extLst>
            <a:ext uri="{FF2B5EF4-FFF2-40B4-BE49-F238E27FC236}">
              <a16:creationId xmlns:a16="http://schemas.microsoft.com/office/drawing/2014/main" id="{72481C52-5F88-40FD-94D7-DB308FEA75FA}"/>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8" name="Shape 11">
          <a:extLst>
            <a:ext uri="{FF2B5EF4-FFF2-40B4-BE49-F238E27FC236}">
              <a16:creationId xmlns:a16="http://schemas.microsoft.com/office/drawing/2014/main" id="{C33C1B50-874C-4BD2-A9B0-D2D3327CAC4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9" name="Shape 11">
          <a:extLst>
            <a:ext uri="{FF2B5EF4-FFF2-40B4-BE49-F238E27FC236}">
              <a16:creationId xmlns:a16="http://schemas.microsoft.com/office/drawing/2014/main" id="{70F836F7-EDAA-4CE6-B3E5-9657D2CD191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0" name="Shape 11">
          <a:extLst>
            <a:ext uri="{FF2B5EF4-FFF2-40B4-BE49-F238E27FC236}">
              <a16:creationId xmlns:a16="http://schemas.microsoft.com/office/drawing/2014/main" id="{72F60C5A-C9A6-4FEB-8530-9A5A7F32D9A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1" name="Shape 11">
          <a:extLst>
            <a:ext uri="{FF2B5EF4-FFF2-40B4-BE49-F238E27FC236}">
              <a16:creationId xmlns:a16="http://schemas.microsoft.com/office/drawing/2014/main" id="{53A94379-64F2-4932-90C3-65720DABD26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2" name="Shape 11">
          <a:extLst>
            <a:ext uri="{FF2B5EF4-FFF2-40B4-BE49-F238E27FC236}">
              <a16:creationId xmlns:a16="http://schemas.microsoft.com/office/drawing/2014/main" id="{8E631D70-9E9F-4FCE-B6E1-E60F7F0BC3A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3" name="Shape 10">
          <a:extLst>
            <a:ext uri="{FF2B5EF4-FFF2-40B4-BE49-F238E27FC236}">
              <a16:creationId xmlns:a16="http://schemas.microsoft.com/office/drawing/2014/main" id="{37C45B05-E88A-423A-9745-CB8189FAAB9E}"/>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4" name="Shape 11">
          <a:extLst>
            <a:ext uri="{FF2B5EF4-FFF2-40B4-BE49-F238E27FC236}">
              <a16:creationId xmlns:a16="http://schemas.microsoft.com/office/drawing/2014/main" id="{B6EC5B84-90B9-49D7-A19F-72484F7D132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5" name="Shape 11">
          <a:extLst>
            <a:ext uri="{FF2B5EF4-FFF2-40B4-BE49-F238E27FC236}">
              <a16:creationId xmlns:a16="http://schemas.microsoft.com/office/drawing/2014/main" id="{9F324609-46AB-49F2-BE1A-B7AA68905BC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6" name="Shape 11">
          <a:extLst>
            <a:ext uri="{FF2B5EF4-FFF2-40B4-BE49-F238E27FC236}">
              <a16:creationId xmlns:a16="http://schemas.microsoft.com/office/drawing/2014/main" id="{C42B3284-C910-4069-971F-765D9B25DDA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7" name="Shape 11">
          <a:extLst>
            <a:ext uri="{FF2B5EF4-FFF2-40B4-BE49-F238E27FC236}">
              <a16:creationId xmlns:a16="http://schemas.microsoft.com/office/drawing/2014/main" id="{E25BC410-4C12-4F14-A5C2-2997212FD6C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8" name="Shape 11">
          <a:extLst>
            <a:ext uri="{FF2B5EF4-FFF2-40B4-BE49-F238E27FC236}">
              <a16:creationId xmlns:a16="http://schemas.microsoft.com/office/drawing/2014/main" id="{53E4B2C0-1C39-432D-AF2A-0CD870CF49F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9" name="Shape 10">
          <a:extLst>
            <a:ext uri="{FF2B5EF4-FFF2-40B4-BE49-F238E27FC236}">
              <a16:creationId xmlns:a16="http://schemas.microsoft.com/office/drawing/2014/main" id="{141B7F20-F638-4654-BA30-C34E426B4603}"/>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0" name="Shape 11">
          <a:extLst>
            <a:ext uri="{FF2B5EF4-FFF2-40B4-BE49-F238E27FC236}">
              <a16:creationId xmlns:a16="http://schemas.microsoft.com/office/drawing/2014/main" id="{D2267ABA-74E5-44D6-8D4D-9F57127B80D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1" name="Shape 11">
          <a:extLst>
            <a:ext uri="{FF2B5EF4-FFF2-40B4-BE49-F238E27FC236}">
              <a16:creationId xmlns:a16="http://schemas.microsoft.com/office/drawing/2014/main" id="{9E568384-E916-4B1A-A77D-E9DC09B4A97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2" name="Shape 11">
          <a:extLst>
            <a:ext uri="{FF2B5EF4-FFF2-40B4-BE49-F238E27FC236}">
              <a16:creationId xmlns:a16="http://schemas.microsoft.com/office/drawing/2014/main" id="{DD9EE343-22B8-4018-9767-64F4F6C1C8F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3" name="Shape 11">
          <a:extLst>
            <a:ext uri="{FF2B5EF4-FFF2-40B4-BE49-F238E27FC236}">
              <a16:creationId xmlns:a16="http://schemas.microsoft.com/office/drawing/2014/main" id="{6F50DCDE-FF48-44AC-B4F1-3F4FA29BC88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4" name="Shape 11">
          <a:extLst>
            <a:ext uri="{FF2B5EF4-FFF2-40B4-BE49-F238E27FC236}">
              <a16:creationId xmlns:a16="http://schemas.microsoft.com/office/drawing/2014/main" id="{F21C9520-8EFF-4180-AE25-499FDC6A009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05" name="Shape 10">
          <a:extLst>
            <a:ext uri="{FF2B5EF4-FFF2-40B4-BE49-F238E27FC236}">
              <a16:creationId xmlns:a16="http://schemas.microsoft.com/office/drawing/2014/main" id="{AB63D04D-210E-47FE-AA02-FA9DFCBBFBEB}"/>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6" name="Shape 11">
          <a:extLst>
            <a:ext uri="{FF2B5EF4-FFF2-40B4-BE49-F238E27FC236}">
              <a16:creationId xmlns:a16="http://schemas.microsoft.com/office/drawing/2014/main" id="{57E146EA-FAF3-4CAD-AD1B-90F09A66B8A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7" name="Shape 11">
          <a:extLst>
            <a:ext uri="{FF2B5EF4-FFF2-40B4-BE49-F238E27FC236}">
              <a16:creationId xmlns:a16="http://schemas.microsoft.com/office/drawing/2014/main" id="{C83711C8-8DFE-4851-BAA2-F5537D538AE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8" name="Shape 11">
          <a:extLst>
            <a:ext uri="{FF2B5EF4-FFF2-40B4-BE49-F238E27FC236}">
              <a16:creationId xmlns:a16="http://schemas.microsoft.com/office/drawing/2014/main" id="{DB73D218-EF5F-4FF1-B0A5-2DA1066C824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9" name="Shape 11">
          <a:extLst>
            <a:ext uri="{FF2B5EF4-FFF2-40B4-BE49-F238E27FC236}">
              <a16:creationId xmlns:a16="http://schemas.microsoft.com/office/drawing/2014/main" id="{6312004D-C083-46D3-BB8C-5DB8785E899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0" name="Shape 11">
          <a:extLst>
            <a:ext uri="{FF2B5EF4-FFF2-40B4-BE49-F238E27FC236}">
              <a16:creationId xmlns:a16="http://schemas.microsoft.com/office/drawing/2014/main" id="{B4DFE509-3AA3-4D63-8958-922E972C328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1" name="Shape 10">
          <a:extLst>
            <a:ext uri="{FF2B5EF4-FFF2-40B4-BE49-F238E27FC236}">
              <a16:creationId xmlns:a16="http://schemas.microsoft.com/office/drawing/2014/main" id="{358857EB-906D-4A36-8EF6-A4B5E9B2C023}"/>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2" name="Shape 11">
          <a:extLst>
            <a:ext uri="{FF2B5EF4-FFF2-40B4-BE49-F238E27FC236}">
              <a16:creationId xmlns:a16="http://schemas.microsoft.com/office/drawing/2014/main" id="{9C6B4C01-BA58-42C3-8E3E-5B41F4D8A3E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3" name="Shape 13">
          <a:extLst>
            <a:ext uri="{FF2B5EF4-FFF2-40B4-BE49-F238E27FC236}">
              <a16:creationId xmlns:a16="http://schemas.microsoft.com/office/drawing/2014/main" id="{56B0546E-D9F9-4050-A1D1-854BC25E072D}"/>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4" name="Shape 14">
          <a:extLst>
            <a:ext uri="{FF2B5EF4-FFF2-40B4-BE49-F238E27FC236}">
              <a16:creationId xmlns:a16="http://schemas.microsoft.com/office/drawing/2014/main" id="{89A08E14-9FA7-4D29-A701-7FCE91BE7BD5}"/>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5" name="Shape 10">
          <a:extLst>
            <a:ext uri="{FF2B5EF4-FFF2-40B4-BE49-F238E27FC236}">
              <a16:creationId xmlns:a16="http://schemas.microsoft.com/office/drawing/2014/main" id="{CC3EE039-FBDB-4B84-9588-E959140598C8}"/>
            </a:ext>
          </a:extLst>
        </xdr:cNvPr>
        <xdr:cNvSpPr txBox="1"/>
      </xdr:nvSpPr>
      <xdr:spPr>
        <a:xfrm>
          <a:off x="4124325" y="181356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6" name="Shape 14">
          <a:extLst>
            <a:ext uri="{FF2B5EF4-FFF2-40B4-BE49-F238E27FC236}">
              <a16:creationId xmlns:a16="http://schemas.microsoft.com/office/drawing/2014/main" id="{9220CAB2-2A98-4E81-88EE-74A548DD2EE4}"/>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7" name="Shape 11">
          <a:extLst>
            <a:ext uri="{FF2B5EF4-FFF2-40B4-BE49-F238E27FC236}">
              <a16:creationId xmlns:a16="http://schemas.microsoft.com/office/drawing/2014/main" id="{8661EDD9-4473-4110-B181-71B3D39D9E4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8" name="Shape 10">
          <a:extLst>
            <a:ext uri="{FF2B5EF4-FFF2-40B4-BE49-F238E27FC236}">
              <a16:creationId xmlns:a16="http://schemas.microsoft.com/office/drawing/2014/main" id="{60C3F28F-3C1E-48F8-BA7C-B29DAC4084D8}"/>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9" name="Shape 11">
          <a:extLst>
            <a:ext uri="{FF2B5EF4-FFF2-40B4-BE49-F238E27FC236}">
              <a16:creationId xmlns:a16="http://schemas.microsoft.com/office/drawing/2014/main" id="{68D5D6EE-8F4D-4C63-8823-D54FF43CCCD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0" name="Shape 11">
          <a:extLst>
            <a:ext uri="{FF2B5EF4-FFF2-40B4-BE49-F238E27FC236}">
              <a16:creationId xmlns:a16="http://schemas.microsoft.com/office/drawing/2014/main" id="{9BACB0E5-83D4-46C4-96DA-2E3C40859DF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1" name="Shape 11">
          <a:extLst>
            <a:ext uri="{FF2B5EF4-FFF2-40B4-BE49-F238E27FC236}">
              <a16:creationId xmlns:a16="http://schemas.microsoft.com/office/drawing/2014/main" id="{D6AA620E-853A-45D9-AD94-A273E943F81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2" name="Shape 11">
          <a:extLst>
            <a:ext uri="{FF2B5EF4-FFF2-40B4-BE49-F238E27FC236}">
              <a16:creationId xmlns:a16="http://schemas.microsoft.com/office/drawing/2014/main" id="{B1A0BEF1-6868-4880-86A1-36A0606FEC9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3" name="Shape 11">
          <a:extLst>
            <a:ext uri="{FF2B5EF4-FFF2-40B4-BE49-F238E27FC236}">
              <a16:creationId xmlns:a16="http://schemas.microsoft.com/office/drawing/2014/main" id="{1D635590-BB1E-4697-871B-7B97CC6E283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24" name="Shape 10">
          <a:extLst>
            <a:ext uri="{FF2B5EF4-FFF2-40B4-BE49-F238E27FC236}">
              <a16:creationId xmlns:a16="http://schemas.microsoft.com/office/drawing/2014/main" id="{32DA73EC-8270-4773-8D05-7A3DDCD9C737}"/>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5" name="Shape 11">
          <a:extLst>
            <a:ext uri="{FF2B5EF4-FFF2-40B4-BE49-F238E27FC236}">
              <a16:creationId xmlns:a16="http://schemas.microsoft.com/office/drawing/2014/main" id="{A310BDF9-17CF-4163-AF0D-67FBFA9782C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6" name="Shape 11">
          <a:extLst>
            <a:ext uri="{FF2B5EF4-FFF2-40B4-BE49-F238E27FC236}">
              <a16:creationId xmlns:a16="http://schemas.microsoft.com/office/drawing/2014/main" id="{DB2AFA0A-18A1-4BFD-BE36-22E1620AB47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7" name="Shape 11">
          <a:extLst>
            <a:ext uri="{FF2B5EF4-FFF2-40B4-BE49-F238E27FC236}">
              <a16:creationId xmlns:a16="http://schemas.microsoft.com/office/drawing/2014/main" id="{F4C346EA-B767-4E8F-AA4A-840B8C985C9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8" name="Shape 11">
          <a:extLst>
            <a:ext uri="{FF2B5EF4-FFF2-40B4-BE49-F238E27FC236}">
              <a16:creationId xmlns:a16="http://schemas.microsoft.com/office/drawing/2014/main" id="{10887CDC-E710-4855-8029-41FA6D4D46B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9" name="Shape 11">
          <a:extLst>
            <a:ext uri="{FF2B5EF4-FFF2-40B4-BE49-F238E27FC236}">
              <a16:creationId xmlns:a16="http://schemas.microsoft.com/office/drawing/2014/main" id="{011E8ABD-3715-4B33-A37C-C85AC01B6C7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0" name="Shape 10">
          <a:extLst>
            <a:ext uri="{FF2B5EF4-FFF2-40B4-BE49-F238E27FC236}">
              <a16:creationId xmlns:a16="http://schemas.microsoft.com/office/drawing/2014/main" id="{7A6A4186-9559-44F6-9CD2-2A991B3BD616}"/>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1" name="Shape 11">
          <a:extLst>
            <a:ext uri="{FF2B5EF4-FFF2-40B4-BE49-F238E27FC236}">
              <a16:creationId xmlns:a16="http://schemas.microsoft.com/office/drawing/2014/main" id="{1F1B2C8C-3E87-4FEB-9032-C1AA8583DBB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2" name="Shape 11">
          <a:extLst>
            <a:ext uri="{FF2B5EF4-FFF2-40B4-BE49-F238E27FC236}">
              <a16:creationId xmlns:a16="http://schemas.microsoft.com/office/drawing/2014/main" id="{A39D37F2-F4E2-4C5E-B82E-CB9DD3D6F83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3" name="Shape 11">
          <a:extLst>
            <a:ext uri="{FF2B5EF4-FFF2-40B4-BE49-F238E27FC236}">
              <a16:creationId xmlns:a16="http://schemas.microsoft.com/office/drawing/2014/main" id="{4EDFF391-A605-4701-839A-5DBCFC956CB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4" name="Shape 11">
          <a:extLst>
            <a:ext uri="{FF2B5EF4-FFF2-40B4-BE49-F238E27FC236}">
              <a16:creationId xmlns:a16="http://schemas.microsoft.com/office/drawing/2014/main" id="{1A16C904-AE92-4AAA-9C70-7FB7B238B6F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5" name="Shape 11">
          <a:extLst>
            <a:ext uri="{FF2B5EF4-FFF2-40B4-BE49-F238E27FC236}">
              <a16:creationId xmlns:a16="http://schemas.microsoft.com/office/drawing/2014/main" id="{04761F47-3916-49CD-8701-C6FD73A6FA6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6" name="Shape 10">
          <a:extLst>
            <a:ext uri="{FF2B5EF4-FFF2-40B4-BE49-F238E27FC236}">
              <a16:creationId xmlns:a16="http://schemas.microsoft.com/office/drawing/2014/main" id="{CA915F3F-6DBB-46C1-98AA-45E56750C307}"/>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7" name="Shape 11">
          <a:extLst>
            <a:ext uri="{FF2B5EF4-FFF2-40B4-BE49-F238E27FC236}">
              <a16:creationId xmlns:a16="http://schemas.microsoft.com/office/drawing/2014/main" id="{7A98B186-4F20-4B31-A15A-9BEF82378DF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8" name="Shape 11">
          <a:extLst>
            <a:ext uri="{FF2B5EF4-FFF2-40B4-BE49-F238E27FC236}">
              <a16:creationId xmlns:a16="http://schemas.microsoft.com/office/drawing/2014/main" id="{156436B3-3DE4-47B2-BD17-94EF5AFDB00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9" name="Shape 11">
          <a:extLst>
            <a:ext uri="{FF2B5EF4-FFF2-40B4-BE49-F238E27FC236}">
              <a16:creationId xmlns:a16="http://schemas.microsoft.com/office/drawing/2014/main" id="{D4EC3FBA-0C9B-41B9-ABE5-CBD276A731A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0" name="Shape 11">
          <a:extLst>
            <a:ext uri="{FF2B5EF4-FFF2-40B4-BE49-F238E27FC236}">
              <a16:creationId xmlns:a16="http://schemas.microsoft.com/office/drawing/2014/main" id="{CE0F5E7F-F8A8-4244-921F-208A858DA7F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1" name="Shape 11">
          <a:extLst>
            <a:ext uri="{FF2B5EF4-FFF2-40B4-BE49-F238E27FC236}">
              <a16:creationId xmlns:a16="http://schemas.microsoft.com/office/drawing/2014/main" id="{CB7DD37B-4FFB-429C-9992-CCB097BF691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2" name="Shape 10">
          <a:extLst>
            <a:ext uri="{FF2B5EF4-FFF2-40B4-BE49-F238E27FC236}">
              <a16:creationId xmlns:a16="http://schemas.microsoft.com/office/drawing/2014/main" id="{D1526E90-2D41-4D03-8509-7840BD21EF7B}"/>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3" name="Shape 11">
          <a:extLst>
            <a:ext uri="{FF2B5EF4-FFF2-40B4-BE49-F238E27FC236}">
              <a16:creationId xmlns:a16="http://schemas.microsoft.com/office/drawing/2014/main" id="{EBC2D5B5-A7C7-4B17-AB76-7C7757F3417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4" name="Shape 11">
          <a:extLst>
            <a:ext uri="{FF2B5EF4-FFF2-40B4-BE49-F238E27FC236}">
              <a16:creationId xmlns:a16="http://schemas.microsoft.com/office/drawing/2014/main" id="{83DF9555-DAC2-4377-8E93-A5CAC546D78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5" name="Shape 11">
          <a:extLst>
            <a:ext uri="{FF2B5EF4-FFF2-40B4-BE49-F238E27FC236}">
              <a16:creationId xmlns:a16="http://schemas.microsoft.com/office/drawing/2014/main" id="{1DB35B21-ACAD-4A42-86F3-02C541FCBDA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6" name="Shape 11">
          <a:extLst>
            <a:ext uri="{FF2B5EF4-FFF2-40B4-BE49-F238E27FC236}">
              <a16:creationId xmlns:a16="http://schemas.microsoft.com/office/drawing/2014/main" id="{5C7B1258-60EE-466B-83ED-A65E24335C2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7" name="Shape 11">
          <a:extLst>
            <a:ext uri="{FF2B5EF4-FFF2-40B4-BE49-F238E27FC236}">
              <a16:creationId xmlns:a16="http://schemas.microsoft.com/office/drawing/2014/main" id="{ECDF3FB7-97D3-49BB-BFB5-450FCEC72DA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8" name="Shape 10">
          <a:extLst>
            <a:ext uri="{FF2B5EF4-FFF2-40B4-BE49-F238E27FC236}">
              <a16:creationId xmlns:a16="http://schemas.microsoft.com/office/drawing/2014/main" id="{7BE4A9DF-49C7-438F-9DCC-E169CCFBDB0C}"/>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9" name="Shape 11">
          <a:extLst>
            <a:ext uri="{FF2B5EF4-FFF2-40B4-BE49-F238E27FC236}">
              <a16:creationId xmlns:a16="http://schemas.microsoft.com/office/drawing/2014/main" id="{142B398B-BB60-4E99-96DD-F44BF1BDEEF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0" name="Shape 11">
          <a:extLst>
            <a:ext uri="{FF2B5EF4-FFF2-40B4-BE49-F238E27FC236}">
              <a16:creationId xmlns:a16="http://schemas.microsoft.com/office/drawing/2014/main" id="{117827C4-4C70-4505-B0EC-5835CBC6D43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1" name="Shape 11">
          <a:extLst>
            <a:ext uri="{FF2B5EF4-FFF2-40B4-BE49-F238E27FC236}">
              <a16:creationId xmlns:a16="http://schemas.microsoft.com/office/drawing/2014/main" id="{623687E9-15F6-40E3-926F-F4AC32A0419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2" name="Shape 11">
          <a:extLst>
            <a:ext uri="{FF2B5EF4-FFF2-40B4-BE49-F238E27FC236}">
              <a16:creationId xmlns:a16="http://schemas.microsoft.com/office/drawing/2014/main" id="{4BF6B9FE-CA2C-418A-A9E4-23F8D4D8239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3" name="Shape 11">
          <a:extLst>
            <a:ext uri="{FF2B5EF4-FFF2-40B4-BE49-F238E27FC236}">
              <a16:creationId xmlns:a16="http://schemas.microsoft.com/office/drawing/2014/main" id="{1B0F4D99-D20B-41FA-A341-A24D8C837F8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4" name="Shape 10">
          <a:extLst>
            <a:ext uri="{FF2B5EF4-FFF2-40B4-BE49-F238E27FC236}">
              <a16:creationId xmlns:a16="http://schemas.microsoft.com/office/drawing/2014/main" id="{524A3F37-F636-4D69-933B-467BCD0BE3FC}"/>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5" name="Shape 11">
          <a:extLst>
            <a:ext uri="{FF2B5EF4-FFF2-40B4-BE49-F238E27FC236}">
              <a16:creationId xmlns:a16="http://schemas.microsoft.com/office/drawing/2014/main" id="{AF2F44A3-84E1-48DD-968E-A1030C07911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6" name="Shape 13">
          <a:extLst>
            <a:ext uri="{FF2B5EF4-FFF2-40B4-BE49-F238E27FC236}">
              <a16:creationId xmlns:a16="http://schemas.microsoft.com/office/drawing/2014/main" id="{AD762378-1632-4BC5-9DCD-7E7AD3DD0577}"/>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7" name="Shape 14">
          <a:extLst>
            <a:ext uri="{FF2B5EF4-FFF2-40B4-BE49-F238E27FC236}">
              <a16:creationId xmlns:a16="http://schemas.microsoft.com/office/drawing/2014/main" id="{5448CC68-6656-437E-BD59-6B4F1BC8C186}"/>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8" name="Shape 10">
          <a:extLst>
            <a:ext uri="{FF2B5EF4-FFF2-40B4-BE49-F238E27FC236}">
              <a16:creationId xmlns:a16="http://schemas.microsoft.com/office/drawing/2014/main" id="{EBF544FE-3B82-455F-BF90-DEC7A9766224}"/>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9" name="Shape 12">
          <a:extLst>
            <a:ext uri="{FF2B5EF4-FFF2-40B4-BE49-F238E27FC236}">
              <a16:creationId xmlns:a16="http://schemas.microsoft.com/office/drawing/2014/main" id="{5FA24DF8-8429-414D-9E05-1149B6C33F98}"/>
            </a:ext>
          </a:extLst>
        </xdr:cNvPr>
        <xdr:cNvSpPr txBox="1"/>
      </xdr:nvSpPr>
      <xdr:spPr>
        <a:xfrm>
          <a:off x="0" y="179736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0" name="Shape 11">
          <a:extLst>
            <a:ext uri="{FF2B5EF4-FFF2-40B4-BE49-F238E27FC236}">
              <a16:creationId xmlns:a16="http://schemas.microsoft.com/office/drawing/2014/main" id="{45CDC4C8-BD64-4DE0-B383-C3F454AAC9D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1" name="Shape 10">
          <a:extLst>
            <a:ext uri="{FF2B5EF4-FFF2-40B4-BE49-F238E27FC236}">
              <a16:creationId xmlns:a16="http://schemas.microsoft.com/office/drawing/2014/main" id="{42D4013B-A5AB-4E16-B521-39EB1918BD78}"/>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2" name="Shape 11">
          <a:extLst>
            <a:ext uri="{FF2B5EF4-FFF2-40B4-BE49-F238E27FC236}">
              <a16:creationId xmlns:a16="http://schemas.microsoft.com/office/drawing/2014/main" id="{334D2878-DA01-4E5B-91FE-95B3432C424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3" name="Shape 11">
          <a:extLst>
            <a:ext uri="{FF2B5EF4-FFF2-40B4-BE49-F238E27FC236}">
              <a16:creationId xmlns:a16="http://schemas.microsoft.com/office/drawing/2014/main" id="{27BDABBD-EE58-4633-8D0B-E52962E77E8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4" name="Shape 11">
          <a:extLst>
            <a:ext uri="{FF2B5EF4-FFF2-40B4-BE49-F238E27FC236}">
              <a16:creationId xmlns:a16="http://schemas.microsoft.com/office/drawing/2014/main" id="{22AA0402-65BC-40B9-B3FE-822DB1481F1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5" name="Shape 11">
          <a:extLst>
            <a:ext uri="{FF2B5EF4-FFF2-40B4-BE49-F238E27FC236}">
              <a16:creationId xmlns:a16="http://schemas.microsoft.com/office/drawing/2014/main" id="{6417B8C3-E729-43FB-817A-FE16F4C9FAA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6" name="Shape 11">
          <a:extLst>
            <a:ext uri="{FF2B5EF4-FFF2-40B4-BE49-F238E27FC236}">
              <a16:creationId xmlns:a16="http://schemas.microsoft.com/office/drawing/2014/main" id="{8C3F7AE5-86D6-4ACD-BB7B-F4CB96AD0BA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7" name="Shape 10">
          <a:extLst>
            <a:ext uri="{FF2B5EF4-FFF2-40B4-BE49-F238E27FC236}">
              <a16:creationId xmlns:a16="http://schemas.microsoft.com/office/drawing/2014/main" id="{68DFADA1-D6B2-4FA3-B5A1-33247D4570F2}"/>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8" name="Shape 11">
          <a:extLst>
            <a:ext uri="{FF2B5EF4-FFF2-40B4-BE49-F238E27FC236}">
              <a16:creationId xmlns:a16="http://schemas.microsoft.com/office/drawing/2014/main" id="{0504357C-5B7B-4BF1-BDB9-9E9A4E73CF6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9" name="Shape 11">
          <a:extLst>
            <a:ext uri="{FF2B5EF4-FFF2-40B4-BE49-F238E27FC236}">
              <a16:creationId xmlns:a16="http://schemas.microsoft.com/office/drawing/2014/main" id="{7DCB8578-EC10-4174-95F2-267F5BEAB86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0" name="Shape 11">
          <a:extLst>
            <a:ext uri="{FF2B5EF4-FFF2-40B4-BE49-F238E27FC236}">
              <a16:creationId xmlns:a16="http://schemas.microsoft.com/office/drawing/2014/main" id="{63D212AA-EB1B-412C-BDFA-DAD1A0B3E47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1" name="Shape 11">
          <a:extLst>
            <a:ext uri="{FF2B5EF4-FFF2-40B4-BE49-F238E27FC236}">
              <a16:creationId xmlns:a16="http://schemas.microsoft.com/office/drawing/2014/main" id="{CBDEDA6F-821E-4DC9-9C40-4ADE07942DF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2" name="Shape 11">
          <a:extLst>
            <a:ext uri="{FF2B5EF4-FFF2-40B4-BE49-F238E27FC236}">
              <a16:creationId xmlns:a16="http://schemas.microsoft.com/office/drawing/2014/main" id="{224FAED1-4A5E-4F9D-A8EC-FB4B87C41EF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3" name="Shape 10">
          <a:extLst>
            <a:ext uri="{FF2B5EF4-FFF2-40B4-BE49-F238E27FC236}">
              <a16:creationId xmlns:a16="http://schemas.microsoft.com/office/drawing/2014/main" id="{77FF4DB3-6F51-4AE4-9037-58723022549B}"/>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4" name="Shape 11">
          <a:extLst>
            <a:ext uri="{FF2B5EF4-FFF2-40B4-BE49-F238E27FC236}">
              <a16:creationId xmlns:a16="http://schemas.microsoft.com/office/drawing/2014/main" id="{B472A1AC-7995-448F-9D0E-EF106FAC24C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5" name="Shape 11">
          <a:extLst>
            <a:ext uri="{FF2B5EF4-FFF2-40B4-BE49-F238E27FC236}">
              <a16:creationId xmlns:a16="http://schemas.microsoft.com/office/drawing/2014/main" id="{77A1E098-AF5D-46E5-B395-DDE261F598C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6" name="Shape 11">
          <a:extLst>
            <a:ext uri="{FF2B5EF4-FFF2-40B4-BE49-F238E27FC236}">
              <a16:creationId xmlns:a16="http://schemas.microsoft.com/office/drawing/2014/main" id="{7A668CDB-7642-4003-85D8-4887DA4498A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7" name="Shape 11">
          <a:extLst>
            <a:ext uri="{FF2B5EF4-FFF2-40B4-BE49-F238E27FC236}">
              <a16:creationId xmlns:a16="http://schemas.microsoft.com/office/drawing/2014/main" id="{69402CE1-8C97-4658-BB1A-73040A42F4D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8" name="Shape 11">
          <a:extLst>
            <a:ext uri="{FF2B5EF4-FFF2-40B4-BE49-F238E27FC236}">
              <a16:creationId xmlns:a16="http://schemas.microsoft.com/office/drawing/2014/main" id="{EE334720-7FD7-4FCA-AF13-202E63EF15D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9" name="Shape 10">
          <a:extLst>
            <a:ext uri="{FF2B5EF4-FFF2-40B4-BE49-F238E27FC236}">
              <a16:creationId xmlns:a16="http://schemas.microsoft.com/office/drawing/2014/main" id="{825AAE4E-EBAD-4964-8EC3-E82A14AECF9D}"/>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0" name="Shape 11">
          <a:extLst>
            <a:ext uri="{FF2B5EF4-FFF2-40B4-BE49-F238E27FC236}">
              <a16:creationId xmlns:a16="http://schemas.microsoft.com/office/drawing/2014/main" id="{E0B52235-8D7D-464D-9340-5D624E6C8A4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1" name="Shape 11">
          <a:extLst>
            <a:ext uri="{FF2B5EF4-FFF2-40B4-BE49-F238E27FC236}">
              <a16:creationId xmlns:a16="http://schemas.microsoft.com/office/drawing/2014/main" id="{C158A736-2E79-4391-9F22-24A83AA9F0E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2" name="Shape 11">
          <a:extLst>
            <a:ext uri="{FF2B5EF4-FFF2-40B4-BE49-F238E27FC236}">
              <a16:creationId xmlns:a16="http://schemas.microsoft.com/office/drawing/2014/main" id="{BFDF082E-6578-4C1C-B37B-E52A733BBE1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3" name="Shape 11">
          <a:extLst>
            <a:ext uri="{FF2B5EF4-FFF2-40B4-BE49-F238E27FC236}">
              <a16:creationId xmlns:a16="http://schemas.microsoft.com/office/drawing/2014/main" id="{AAD64456-2DCA-4340-A6FD-B7A217CD171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4" name="Shape 11">
          <a:extLst>
            <a:ext uri="{FF2B5EF4-FFF2-40B4-BE49-F238E27FC236}">
              <a16:creationId xmlns:a16="http://schemas.microsoft.com/office/drawing/2014/main" id="{D85C4823-4FBA-454E-B5FA-C1F33A4A1AE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85" name="Shape 10">
          <a:extLst>
            <a:ext uri="{FF2B5EF4-FFF2-40B4-BE49-F238E27FC236}">
              <a16:creationId xmlns:a16="http://schemas.microsoft.com/office/drawing/2014/main" id="{15C8701E-3B62-48A5-982B-7B6DDDD8411E}"/>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6" name="Shape 11">
          <a:extLst>
            <a:ext uri="{FF2B5EF4-FFF2-40B4-BE49-F238E27FC236}">
              <a16:creationId xmlns:a16="http://schemas.microsoft.com/office/drawing/2014/main" id="{22D1CA39-3075-4BCF-8DF6-AFFC8D37BA1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7" name="Shape 11">
          <a:extLst>
            <a:ext uri="{FF2B5EF4-FFF2-40B4-BE49-F238E27FC236}">
              <a16:creationId xmlns:a16="http://schemas.microsoft.com/office/drawing/2014/main" id="{B7B8EA1B-5F71-4CB7-BE21-B8633AA696B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8" name="Shape 11">
          <a:extLst>
            <a:ext uri="{FF2B5EF4-FFF2-40B4-BE49-F238E27FC236}">
              <a16:creationId xmlns:a16="http://schemas.microsoft.com/office/drawing/2014/main" id="{EA060E6F-5551-4DFD-9769-440144FCB2E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9" name="Shape 11">
          <a:extLst>
            <a:ext uri="{FF2B5EF4-FFF2-40B4-BE49-F238E27FC236}">
              <a16:creationId xmlns:a16="http://schemas.microsoft.com/office/drawing/2014/main" id="{DF18E6D0-4AC9-406B-96A1-2AE39075676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0" name="Shape 11">
          <a:extLst>
            <a:ext uri="{FF2B5EF4-FFF2-40B4-BE49-F238E27FC236}">
              <a16:creationId xmlns:a16="http://schemas.microsoft.com/office/drawing/2014/main" id="{346282C8-50DB-4A6D-93CC-39DD3E6EFB0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1" name="Shape 10">
          <a:extLst>
            <a:ext uri="{FF2B5EF4-FFF2-40B4-BE49-F238E27FC236}">
              <a16:creationId xmlns:a16="http://schemas.microsoft.com/office/drawing/2014/main" id="{7A73B242-56CB-445E-97C4-8D30DB68C426}"/>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2" name="Shape 11">
          <a:extLst>
            <a:ext uri="{FF2B5EF4-FFF2-40B4-BE49-F238E27FC236}">
              <a16:creationId xmlns:a16="http://schemas.microsoft.com/office/drawing/2014/main" id="{9FF959E5-1428-40FF-B03B-0177C7DC227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3" name="Shape 11">
          <a:extLst>
            <a:ext uri="{FF2B5EF4-FFF2-40B4-BE49-F238E27FC236}">
              <a16:creationId xmlns:a16="http://schemas.microsoft.com/office/drawing/2014/main" id="{54DA743E-F1A0-45A6-BB5E-B2FC399847D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4" name="Shape 11">
          <a:extLst>
            <a:ext uri="{FF2B5EF4-FFF2-40B4-BE49-F238E27FC236}">
              <a16:creationId xmlns:a16="http://schemas.microsoft.com/office/drawing/2014/main" id="{A4176230-AAF7-4ECB-AC8B-12B116086D1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5" name="Shape 11">
          <a:extLst>
            <a:ext uri="{FF2B5EF4-FFF2-40B4-BE49-F238E27FC236}">
              <a16:creationId xmlns:a16="http://schemas.microsoft.com/office/drawing/2014/main" id="{49B15EA4-81B4-44BD-990D-DCC544A362F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6" name="Shape 11">
          <a:extLst>
            <a:ext uri="{FF2B5EF4-FFF2-40B4-BE49-F238E27FC236}">
              <a16:creationId xmlns:a16="http://schemas.microsoft.com/office/drawing/2014/main" id="{7F3C163A-D02D-4871-96DB-285C6BA692E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7" name="Shape 10">
          <a:extLst>
            <a:ext uri="{FF2B5EF4-FFF2-40B4-BE49-F238E27FC236}">
              <a16:creationId xmlns:a16="http://schemas.microsoft.com/office/drawing/2014/main" id="{78299E61-A5D1-4D59-940F-8741516E096D}"/>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8" name="Shape 11">
          <a:extLst>
            <a:ext uri="{FF2B5EF4-FFF2-40B4-BE49-F238E27FC236}">
              <a16:creationId xmlns:a16="http://schemas.microsoft.com/office/drawing/2014/main" id="{387F9A4C-8776-46A4-9C73-E8F4C96767D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9" name="Shape 13">
          <a:extLst>
            <a:ext uri="{FF2B5EF4-FFF2-40B4-BE49-F238E27FC236}">
              <a16:creationId xmlns:a16="http://schemas.microsoft.com/office/drawing/2014/main" id="{9F149F84-E8F6-4893-B5AC-B12542CC9D96}"/>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0" name="Shape 14">
          <a:extLst>
            <a:ext uri="{FF2B5EF4-FFF2-40B4-BE49-F238E27FC236}">
              <a16:creationId xmlns:a16="http://schemas.microsoft.com/office/drawing/2014/main" id="{71B239E0-0C9F-4405-BB2D-A7E28AD541A1}"/>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1" name="Shape 10">
          <a:extLst>
            <a:ext uri="{FF2B5EF4-FFF2-40B4-BE49-F238E27FC236}">
              <a16:creationId xmlns:a16="http://schemas.microsoft.com/office/drawing/2014/main" id="{556D5FD1-B6F4-4FA7-B01E-B4881ADBC0AD}"/>
            </a:ext>
          </a:extLst>
        </xdr:cNvPr>
        <xdr:cNvSpPr txBox="1"/>
      </xdr:nvSpPr>
      <xdr:spPr>
        <a:xfrm>
          <a:off x="4124325" y="270414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2" name="Shape 14">
          <a:extLst>
            <a:ext uri="{FF2B5EF4-FFF2-40B4-BE49-F238E27FC236}">
              <a16:creationId xmlns:a16="http://schemas.microsoft.com/office/drawing/2014/main" id="{5E1CEEAB-F58B-4325-ADC8-BCE56A6323A6}"/>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3" name="Shape 11">
          <a:extLst>
            <a:ext uri="{FF2B5EF4-FFF2-40B4-BE49-F238E27FC236}">
              <a16:creationId xmlns:a16="http://schemas.microsoft.com/office/drawing/2014/main" id="{A49CDD6D-7A64-47B8-A005-EA2B3A0DA38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4" name="Shape 10">
          <a:extLst>
            <a:ext uri="{FF2B5EF4-FFF2-40B4-BE49-F238E27FC236}">
              <a16:creationId xmlns:a16="http://schemas.microsoft.com/office/drawing/2014/main" id="{0B5AE8E0-6481-41B9-95DF-DFF18DF98AB4}"/>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5" name="Shape 11">
          <a:extLst>
            <a:ext uri="{FF2B5EF4-FFF2-40B4-BE49-F238E27FC236}">
              <a16:creationId xmlns:a16="http://schemas.microsoft.com/office/drawing/2014/main" id="{5DDD7393-0E9B-47F8-83E1-80176977D31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6" name="Shape 11">
          <a:extLst>
            <a:ext uri="{FF2B5EF4-FFF2-40B4-BE49-F238E27FC236}">
              <a16:creationId xmlns:a16="http://schemas.microsoft.com/office/drawing/2014/main" id="{F25C298A-741A-4D39-B277-154310CA0E8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7" name="Shape 11">
          <a:extLst>
            <a:ext uri="{FF2B5EF4-FFF2-40B4-BE49-F238E27FC236}">
              <a16:creationId xmlns:a16="http://schemas.microsoft.com/office/drawing/2014/main" id="{8BC9C27A-A804-472C-A13A-7908D53E2A0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8" name="Shape 11">
          <a:extLst>
            <a:ext uri="{FF2B5EF4-FFF2-40B4-BE49-F238E27FC236}">
              <a16:creationId xmlns:a16="http://schemas.microsoft.com/office/drawing/2014/main" id="{CFBD0170-8113-440A-B698-2EE9DDE898A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9" name="Shape 11">
          <a:extLst>
            <a:ext uri="{FF2B5EF4-FFF2-40B4-BE49-F238E27FC236}">
              <a16:creationId xmlns:a16="http://schemas.microsoft.com/office/drawing/2014/main" id="{AB6086F1-FDA8-4039-8E23-70DA7373F21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0" name="Shape 10">
          <a:extLst>
            <a:ext uri="{FF2B5EF4-FFF2-40B4-BE49-F238E27FC236}">
              <a16:creationId xmlns:a16="http://schemas.microsoft.com/office/drawing/2014/main" id="{03C99829-71F5-4A89-8A7B-E2C2EC70BB80}"/>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1" name="Shape 11">
          <a:extLst>
            <a:ext uri="{FF2B5EF4-FFF2-40B4-BE49-F238E27FC236}">
              <a16:creationId xmlns:a16="http://schemas.microsoft.com/office/drawing/2014/main" id="{7D15CD97-3D30-41B8-85DF-F51B494059AC}"/>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2" name="Shape 11">
          <a:extLst>
            <a:ext uri="{FF2B5EF4-FFF2-40B4-BE49-F238E27FC236}">
              <a16:creationId xmlns:a16="http://schemas.microsoft.com/office/drawing/2014/main" id="{E9BFB1EC-D6DD-4466-9B87-822E8791F35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3" name="Shape 11">
          <a:extLst>
            <a:ext uri="{FF2B5EF4-FFF2-40B4-BE49-F238E27FC236}">
              <a16:creationId xmlns:a16="http://schemas.microsoft.com/office/drawing/2014/main" id="{79364C39-9F9C-49A6-B0AA-D0410A067BC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4" name="Shape 11">
          <a:extLst>
            <a:ext uri="{FF2B5EF4-FFF2-40B4-BE49-F238E27FC236}">
              <a16:creationId xmlns:a16="http://schemas.microsoft.com/office/drawing/2014/main" id="{AA802284-2756-4F22-B853-BBDEDA4516E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5" name="Shape 11">
          <a:extLst>
            <a:ext uri="{FF2B5EF4-FFF2-40B4-BE49-F238E27FC236}">
              <a16:creationId xmlns:a16="http://schemas.microsoft.com/office/drawing/2014/main" id="{B8EC8A9E-DF3B-455B-9544-085F1F0C22C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6" name="Shape 10">
          <a:extLst>
            <a:ext uri="{FF2B5EF4-FFF2-40B4-BE49-F238E27FC236}">
              <a16:creationId xmlns:a16="http://schemas.microsoft.com/office/drawing/2014/main" id="{67BCA66E-04EB-4E9E-8052-DE42EFE77D36}"/>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7" name="Shape 11">
          <a:extLst>
            <a:ext uri="{FF2B5EF4-FFF2-40B4-BE49-F238E27FC236}">
              <a16:creationId xmlns:a16="http://schemas.microsoft.com/office/drawing/2014/main" id="{A3BA7A42-611F-4182-95AB-E6A61B58F9C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8" name="Shape 11">
          <a:extLst>
            <a:ext uri="{FF2B5EF4-FFF2-40B4-BE49-F238E27FC236}">
              <a16:creationId xmlns:a16="http://schemas.microsoft.com/office/drawing/2014/main" id="{D23C7481-F067-4E11-BA31-22E5151A55A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9" name="Shape 11">
          <a:extLst>
            <a:ext uri="{FF2B5EF4-FFF2-40B4-BE49-F238E27FC236}">
              <a16:creationId xmlns:a16="http://schemas.microsoft.com/office/drawing/2014/main" id="{FD68F8B5-A5F4-4914-AB4D-C45DC47D3D1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0" name="Shape 11">
          <a:extLst>
            <a:ext uri="{FF2B5EF4-FFF2-40B4-BE49-F238E27FC236}">
              <a16:creationId xmlns:a16="http://schemas.microsoft.com/office/drawing/2014/main" id="{8C620932-D1FF-4674-BF25-FB032EC8267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1" name="Shape 11">
          <a:extLst>
            <a:ext uri="{FF2B5EF4-FFF2-40B4-BE49-F238E27FC236}">
              <a16:creationId xmlns:a16="http://schemas.microsoft.com/office/drawing/2014/main" id="{79AF1BA0-9A14-4B09-A490-CC553373F1B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2" name="Shape 10">
          <a:extLst>
            <a:ext uri="{FF2B5EF4-FFF2-40B4-BE49-F238E27FC236}">
              <a16:creationId xmlns:a16="http://schemas.microsoft.com/office/drawing/2014/main" id="{74AF815B-0009-4603-B007-F09ABDF052E0}"/>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3" name="Shape 11">
          <a:extLst>
            <a:ext uri="{FF2B5EF4-FFF2-40B4-BE49-F238E27FC236}">
              <a16:creationId xmlns:a16="http://schemas.microsoft.com/office/drawing/2014/main" id="{3DF02402-6567-4A0D-A6CD-D3B1F66C5F0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4" name="Shape 11">
          <a:extLst>
            <a:ext uri="{FF2B5EF4-FFF2-40B4-BE49-F238E27FC236}">
              <a16:creationId xmlns:a16="http://schemas.microsoft.com/office/drawing/2014/main" id="{94A2ED37-E4F7-4111-BE69-69C0F17C90F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5" name="Shape 11">
          <a:extLst>
            <a:ext uri="{FF2B5EF4-FFF2-40B4-BE49-F238E27FC236}">
              <a16:creationId xmlns:a16="http://schemas.microsoft.com/office/drawing/2014/main" id="{40D95CB0-A50B-4038-962B-94A41142822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6" name="Shape 11">
          <a:extLst>
            <a:ext uri="{FF2B5EF4-FFF2-40B4-BE49-F238E27FC236}">
              <a16:creationId xmlns:a16="http://schemas.microsoft.com/office/drawing/2014/main" id="{8148DEF0-6AF7-4AB7-8F57-2F464211772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7" name="Shape 11">
          <a:extLst>
            <a:ext uri="{FF2B5EF4-FFF2-40B4-BE49-F238E27FC236}">
              <a16:creationId xmlns:a16="http://schemas.microsoft.com/office/drawing/2014/main" id="{375A5A03-2395-4A5F-B4EA-D8078513434C}"/>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8" name="Shape 10">
          <a:extLst>
            <a:ext uri="{FF2B5EF4-FFF2-40B4-BE49-F238E27FC236}">
              <a16:creationId xmlns:a16="http://schemas.microsoft.com/office/drawing/2014/main" id="{0733410D-C0E2-4D07-929F-28D612AF0C17}"/>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9" name="Shape 11">
          <a:extLst>
            <a:ext uri="{FF2B5EF4-FFF2-40B4-BE49-F238E27FC236}">
              <a16:creationId xmlns:a16="http://schemas.microsoft.com/office/drawing/2014/main" id="{6DD35916-D626-4C39-8DA2-A90A73D648B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0" name="Shape 11">
          <a:extLst>
            <a:ext uri="{FF2B5EF4-FFF2-40B4-BE49-F238E27FC236}">
              <a16:creationId xmlns:a16="http://schemas.microsoft.com/office/drawing/2014/main" id="{7824CF67-360E-42B0-A2B6-D97BAE1BE6D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1" name="Shape 11">
          <a:extLst>
            <a:ext uri="{FF2B5EF4-FFF2-40B4-BE49-F238E27FC236}">
              <a16:creationId xmlns:a16="http://schemas.microsoft.com/office/drawing/2014/main" id="{3AE5C66D-505C-4E23-8211-732FEC94362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2" name="Shape 11">
          <a:extLst>
            <a:ext uri="{FF2B5EF4-FFF2-40B4-BE49-F238E27FC236}">
              <a16:creationId xmlns:a16="http://schemas.microsoft.com/office/drawing/2014/main" id="{4C7237E9-2528-4E83-82FC-A1E7D2647B2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3" name="Shape 11">
          <a:extLst>
            <a:ext uri="{FF2B5EF4-FFF2-40B4-BE49-F238E27FC236}">
              <a16:creationId xmlns:a16="http://schemas.microsoft.com/office/drawing/2014/main" id="{68C28E57-F2E2-47B0-930B-143FE7845C5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34" name="Shape 10">
          <a:extLst>
            <a:ext uri="{FF2B5EF4-FFF2-40B4-BE49-F238E27FC236}">
              <a16:creationId xmlns:a16="http://schemas.microsoft.com/office/drawing/2014/main" id="{86066D43-9249-49BC-A74A-E26EB343317C}"/>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5" name="Shape 11">
          <a:extLst>
            <a:ext uri="{FF2B5EF4-FFF2-40B4-BE49-F238E27FC236}">
              <a16:creationId xmlns:a16="http://schemas.microsoft.com/office/drawing/2014/main" id="{44BB9F8A-7587-437F-9B7E-BF809FB07D0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6" name="Shape 11">
          <a:extLst>
            <a:ext uri="{FF2B5EF4-FFF2-40B4-BE49-F238E27FC236}">
              <a16:creationId xmlns:a16="http://schemas.microsoft.com/office/drawing/2014/main" id="{6883B73D-721D-4617-8EB0-F1C1CB53BA2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7" name="Shape 11">
          <a:extLst>
            <a:ext uri="{FF2B5EF4-FFF2-40B4-BE49-F238E27FC236}">
              <a16:creationId xmlns:a16="http://schemas.microsoft.com/office/drawing/2014/main" id="{0ECCC0CA-EA12-4F82-9756-5F5DDB95371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8" name="Shape 11">
          <a:extLst>
            <a:ext uri="{FF2B5EF4-FFF2-40B4-BE49-F238E27FC236}">
              <a16:creationId xmlns:a16="http://schemas.microsoft.com/office/drawing/2014/main" id="{51380D61-6039-4DD0-99A3-25801A1DBA1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9" name="Shape 11">
          <a:extLst>
            <a:ext uri="{FF2B5EF4-FFF2-40B4-BE49-F238E27FC236}">
              <a16:creationId xmlns:a16="http://schemas.microsoft.com/office/drawing/2014/main" id="{5AE9C927-34DB-41D9-B806-1E6BC0F176E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0" name="Shape 10">
          <a:extLst>
            <a:ext uri="{FF2B5EF4-FFF2-40B4-BE49-F238E27FC236}">
              <a16:creationId xmlns:a16="http://schemas.microsoft.com/office/drawing/2014/main" id="{FC13CC3B-6F02-43B9-8C56-81CE53F7030A}"/>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1" name="Shape 11">
          <a:extLst>
            <a:ext uri="{FF2B5EF4-FFF2-40B4-BE49-F238E27FC236}">
              <a16:creationId xmlns:a16="http://schemas.microsoft.com/office/drawing/2014/main" id="{0DB1EDE8-A118-4129-AE28-C0136C0D1A4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2" name="Shape 13">
          <a:extLst>
            <a:ext uri="{FF2B5EF4-FFF2-40B4-BE49-F238E27FC236}">
              <a16:creationId xmlns:a16="http://schemas.microsoft.com/office/drawing/2014/main" id="{9E250B80-6E1A-49BC-9FE6-874DC907BAFF}"/>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3" name="Shape 14">
          <a:extLst>
            <a:ext uri="{FF2B5EF4-FFF2-40B4-BE49-F238E27FC236}">
              <a16:creationId xmlns:a16="http://schemas.microsoft.com/office/drawing/2014/main" id="{35AC721A-E961-42D7-8976-D5AF48B042F3}"/>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4" name="Shape 10">
          <a:extLst>
            <a:ext uri="{FF2B5EF4-FFF2-40B4-BE49-F238E27FC236}">
              <a16:creationId xmlns:a16="http://schemas.microsoft.com/office/drawing/2014/main" id="{4DC54585-DCEC-4DD4-B13F-E7F2DCE309C8}"/>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5" name="Shape 12">
          <a:extLst>
            <a:ext uri="{FF2B5EF4-FFF2-40B4-BE49-F238E27FC236}">
              <a16:creationId xmlns:a16="http://schemas.microsoft.com/office/drawing/2014/main" id="{3DB71A15-0537-4226-9997-A4402A7BB79D}"/>
            </a:ext>
          </a:extLst>
        </xdr:cNvPr>
        <xdr:cNvSpPr txBox="1"/>
      </xdr:nvSpPr>
      <xdr:spPr>
        <a:xfrm>
          <a:off x="0" y="268795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6" name="Shape 11">
          <a:extLst>
            <a:ext uri="{FF2B5EF4-FFF2-40B4-BE49-F238E27FC236}">
              <a16:creationId xmlns:a16="http://schemas.microsoft.com/office/drawing/2014/main" id="{4C3F559F-1AC9-4ED5-A1E9-A14FD228C926}"/>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7" name="Shape 10">
          <a:extLst>
            <a:ext uri="{FF2B5EF4-FFF2-40B4-BE49-F238E27FC236}">
              <a16:creationId xmlns:a16="http://schemas.microsoft.com/office/drawing/2014/main" id="{E554B7DA-EAC0-41A2-B239-0DEF9D10E048}"/>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8" name="Shape 11">
          <a:extLst>
            <a:ext uri="{FF2B5EF4-FFF2-40B4-BE49-F238E27FC236}">
              <a16:creationId xmlns:a16="http://schemas.microsoft.com/office/drawing/2014/main" id="{9394EB48-1405-4E17-BCF4-46E39DE82EF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9" name="Shape 11">
          <a:extLst>
            <a:ext uri="{FF2B5EF4-FFF2-40B4-BE49-F238E27FC236}">
              <a16:creationId xmlns:a16="http://schemas.microsoft.com/office/drawing/2014/main" id="{AE8BCA23-AC2F-463C-B542-2A498DDBC2B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0" name="Shape 11">
          <a:extLst>
            <a:ext uri="{FF2B5EF4-FFF2-40B4-BE49-F238E27FC236}">
              <a16:creationId xmlns:a16="http://schemas.microsoft.com/office/drawing/2014/main" id="{EC1D421B-1AC5-42DF-9BA0-2ADDFDB7AF9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1" name="Shape 11">
          <a:extLst>
            <a:ext uri="{FF2B5EF4-FFF2-40B4-BE49-F238E27FC236}">
              <a16:creationId xmlns:a16="http://schemas.microsoft.com/office/drawing/2014/main" id="{B25588C2-82FF-4449-A7B1-3A6B6A1B394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2" name="Shape 11">
          <a:extLst>
            <a:ext uri="{FF2B5EF4-FFF2-40B4-BE49-F238E27FC236}">
              <a16:creationId xmlns:a16="http://schemas.microsoft.com/office/drawing/2014/main" id="{9F39A44C-1661-4AAE-8F0B-8251956C120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3" name="Shape 10">
          <a:extLst>
            <a:ext uri="{FF2B5EF4-FFF2-40B4-BE49-F238E27FC236}">
              <a16:creationId xmlns:a16="http://schemas.microsoft.com/office/drawing/2014/main" id="{C99E4840-ECF6-4246-BB29-643FADD71205}"/>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4" name="Shape 11">
          <a:extLst>
            <a:ext uri="{FF2B5EF4-FFF2-40B4-BE49-F238E27FC236}">
              <a16:creationId xmlns:a16="http://schemas.microsoft.com/office/drawing/2014/main" id="{8A54C728-B3F6-495D-AF8D-9D99133B1F6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5" name="Shape 11">
          <a:extLst>
            <a:ext uri="{FF2B5EF4-FFF2-40B4-BE49-F238E27FC236}">
              <a16:creationId xmlns:a16="http://schemas.microsoft.com/office/drawing/2014/main" id="{E222CEA7-33BB-4AAD-86D0-2511FC8176C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6" name="Shape 11">
          <a:extLst>
            <a:ext uri="{FF2B5EF4-FFF2-40B4-BE49-F238E27FC236}">
              <a16:creationId xmlns:a16="http://schemas.microsoft.com/office/drawing/2014/main" id="{84FACFC0-F12C-448A-A42B-9CD93C78392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7" name="Shape 11">
          <a:extLst>
            <a:ext uri="{FF2B5EF4-FFF2-40B4-BE49-F238E27FC236}">
              <a16:creationId xmlns:a16="http://schemas.microsoft.com/office/drawing/2014/main" id="{BE0A2588-FD89-4ACC-A003-114F9A7545A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8" name="Shape 11">
          <a:extLst>
            <a:ext uri="{FF2B5EF4-FFF2-40B4-BE49-F238E27FC236}">
              <a16:creationId xmlns:a16="http://schemas.microsoft.com/office/drawing/2014/main" id="{6AC4FDCD-4443-4DB1-8EB0-A6BE47452AF6}"/>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9" name="Shape 10">
          <a:extLst>
            <a:ext uri="{FF2B5EF4-FFF2-40B4-BE49-F238E27FC236}">
              <a16:creationId xmlns:a16="http://schemas.microsoft.com/office/drawing/2014/main" id="{2EEACEEB-9845-4DA1-BA07-F18905357A9C}"/>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0" name="Shape 11">
          <a:extLst>
            <a:ext uri="{FF2B5EF4-FFF2-40B4-BE49-F238E27FC236}">
              <a16:creationId xmlns:a16="http://schemas.microsoft.com/office/drawing/2014/main" id="{274525A2-7CBA-43F0-AC10-9C6D3871335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1" name="Shape 11">
          <a:extLst>
            <a:ext uri="{FF2B5EF4-FFF2-40B4-BE49-F238E27FC236}">
              <a16:creationId xmlns:a16="http://schemas.microsoft.com/office/drawing/2014/main" id="{36B95D7E-419A-473C-BDC4-90990B7B58E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2" name="Shape 11">
          <a:extLst>
            <a:ext uri="{FF2B5EF4-FFF2-40B4-BE49-F238E27FC236}">
              <a16:creationId xmlns:a16="http://schemas.microsoft.com/office/drawing/2014/main" id="{B5A18115-749D-4628-AA8B-9BAD8E1FC796}"/>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3" name="Shape 11">
          <a:extLst>
            <a:ext uri="{FF2B5EF4-FFF2-40B4-BE49-F238E27FC236}">
              <a16:creationId xmlns:a16="http://schemas.microsoft.com/office/drawing/2014/main" id="{32B21CA7-9CE0-472D-8313-AAA3BF3CE7A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4" name="Shape 11">
          <a:extLst>
            <a:ext uri="{FF2B5EF4-FFF2-40B4-BE49-F238E27FC236}">
              <a16:creationId xmlns:a16="http://schemas.microsoft.com/office/drawing/2014/main" id="{D7E62818-F144-4BF4-BEC9-A2A27034A30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65" name="Shape 10">
          <a:extLst>
            <a:ext uri="{FF2B5EF4-FFF2-40B4-BE49-F238E27FC236}">
              <a16:creationId xmlns:a16="http://schemas.microsoft.com/office/drawing/2014/main" id="{6001A376-E9BC-4A2D-9E99-4DAD3277855A}"/>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6" name="Shape 11">
          <a:extLst>
            <a:ext uri="{FF2B5EF4-FFF2-40B4-BE49-F238E27FC236}">
              <a16:creationId xmlns:a16="http://schemas.microsoft.com/office/drawing/2014/main" id="{1E225002-32F5-4ECF-BD14-5446E9F642A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7" name="Shape 11">
          <a:extLst>
            <a:ext uri="{FF2B5EF4-FFF2-40B4-BE49-F238E27FC236}">
              <a16:creationId xmlns:a16="http://schemas.microsoft.com/office/drawing/2014/main" id="{DE1CB0A6-2F1F-4BB4-A72C-16936EAAF2C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8" name="Shape 11">
          <a:extLst>
            <a:ext uri="{FF2B5EF4-FFF2-40B4-BE49-F238E27FC236}">
              <a16:creationId xmlns:a16="http://schemas.microsoft.com/office/drawing/2014/main" id="{20F036F0-766C-4E48-B629-8EC793A38BD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9" name="Shape 11">
          <a:extLst>
            <a:ext uri="{FF2B5EF4-FFF2-40B4-BE49-F238E27FC236}">
              <a16:creationId xmlns:a16="http://schemas.microsoft.com/office/drawing/2014/main" id="{9D0DF706-DE5F-479D-982F-9D674E7557C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0" name="Shape 11">
          <a:extLst>
            <a:ext uri="{FF2B5EF4-FFF2-40B4-BE49-F238E27FC236}">
              <a16:creationId xmlns:a16="http://schemas.microsoft.com/office/drawing/2014/main" id="{CA237744-C8B0-4506-8692-DADA550A6771}"/>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1" name="Shape 10">
          <a:extLst>
            <a:ext uri="{FF2B5EF4-FFF2-40B4-BE49-F238E27FC236}">
              <a16:creationId xmlns:a16="http://schemas.microsoft.com/office/drawing/2014/main" id="{739B059A-E79B-49F6-B0F2-52B7FBC04FC3}"/>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2" name="Shape 11">
          <a:extLst>
            <a:ext uri="{FF2B5EF4-FFF2-40B4-BE49-F238E27FC236}">
              <a16:creationId xmlns:a16="http://schemas.microsoft.com/office/drawing/2014/main" id="{4F86C2C9-5713-4296-92EB-A1382B79347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3" name="Shape 11">
          <a:extLst>
            <a:ext uri="{FF2B5EF4-FFF2-40B4-BE49-F238E27FC236}">
              <a16:creationId xmlns:a16="http://schemas.microsoft.com/office/drawing/2014/main" id="{1A413652-904B-4ABB-BAA4-C3CA92CFF421}"/>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4" name="Shape 11">
          <a:extLst>
            <a:ext uri="{FF2B5EF4-FFF2-40B4-BE49-F238E27FC236}">
              <a16:creationId xmlns:a16="http://schemas.microsoft.com/office/drawing/2014/main" id="{09AE86AB-BD04-4C6D-A4B9-4C688AD1F9E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5" name="Shape 11">
          <a:extLst>
            <a:ext uri="{FF2B5EF4-FFF2-40B4-BE49-F238E27FC236}">
              <a16:creationId xmlns:a16="http://schemas.microsoft.com/office/drawing/2014/main" id="{DC09564A-D0F7-4F90-A2B3-11D1D058FB1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6" name="Shape 11">
          <a:extLst>
            <a:ext uri="{FF2B5EF4-FFF2-40B4-BE49-F238E27FC236}">
              <a16:creationId xmlns:a16="http://schemas.microsoft.com/office/drawing/2014/main" id="{962C8E25-66AE-4336-946E-C79EBDBE3D1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7" name="Shape 10">
          <a:extLst>
            <a:ext uri="{FF2B5EF4-FFF2-40B4-BE49-F238E27FC236}">
              <a16:creationId xmlns:a16="http://schemas.microsoft.com/office/drawing/2014/main" id="{D16C5DDA-187B-4D38-9A59-545F7BD77FAE}"/>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8" name="Shape 11">
          <a:extLst>
            <a:ext uri="{FF2B5EF4-FFF2-40B4-BE49-F238E27FC236}">
              <a16:creationId xmlns:a16="http://schemas.microsoft.com/office/drawing/2014/main" id="{F442247A-B416-4828-B5FD-80EB31CEF1B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9" name="Shape 11">
          <a:extLst>
            <a:ext uri="{FF2B5EF4-FFF2-40B4-BE49-F238E27FC236}">
              <a16:creationId xmlns:a16="http://schemas.microsoft.com/office/drawing/2014/main" id="{F5A8C376-61F6-4924-94F9-2EA25085AE8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0" name="Shape 11">
          <a:extLst>
            <a:ext uri="{FF2B5EF4-FFF2-40B4-BE49-F238E27FC236}">
              <a16:creationId xmlns:a16="http://schemas.microsoft.com/office/drawing/2014/main" id="{68B52763-298E-431A-868F-F7B4D45004C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1" name="Shape 11">
          <a:extLst>
            <a:ext uri="{FF2B5EF4-FFF2-40B4-BE49-F238E27FC236}">
              <a16:creationId xmlns:a16="http://schemas.microsoft.com/office/drawing/2014/main" id="{053BF2EE-F3AB-470C-B290-696E68B2AFF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2" name="Shape 11">
          <a:extLst>
            <a:ext uri="{FF2B5EF4-FFF2-40B4-BE49-F238E27FC236}">
              <a16:creationId xmlns:a16="http://schemas.microsoft.com/office/drawing/2014/main" id="{7EFBF8B3-7CD0-4C32-AE21-058AD9A09AE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3" name="Shape 10">
          <a:extLst>
            <a:ext uri="{FF2B5EF4-FFF2-40B4-BE49-F238E27FC236}">
              <a16:creationId xmlns:a16="http://schemas.microsoft.com/office/drawing/2014/main" id="{6AA1F8C6-908A-4F42-8062-260BE390505E}"/>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4" name="Shape 11">
          <a:extLst>
            <a:ext uri="{FF2B5EF4-FFF2-40B4-BE49-F238E27FC236}">
              <a16:creationId xmlns:a16="http://schemas.microsoft.com/office/drawing/2014/main" id="{114D2711-3766-4D80-813E-395D2051238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5" name="Shape 13">
          <a:extLst>
            <a:ext uri="{FF2B5EF4-FFF2-40B4-BE49-F238E27FC236}">
              <a16:creationId xmlns:a16="http://schemas.microsoft.com/office/drawing/2014/main" id="{3FA30177-E23F-4800-A179-10E5B80A1E8C}"/>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6" name="Shape 14">
          <a:extLst>
            <a:ext uri="{FF2B5EF4-FFF2-40B4-BE49-F238E27FC236}">
              <a16:creationId xmlns:a16="http://schemas.microsoft.com/office/drawing/2014/main" id="{E2E5F835-1400-42C6-AD8D-8663562C9087}"/>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7" name="Shape 10">
          <a:extLst>
            <a:ext uri="{FF2B5EF4-FFF2-40B4-BE49-F238E27FC236}">
              <a16:creationId xmlns:a16="http://schemas.microsoft.com/office/drawing/2014/main" id="{D6A1877D-0D68-4EA3-AC99-C46631051440}"/>
            </a:ext>
          </a:extLst>
        </xdr:cNvPr>
        <xdr:cNvSpPr txBox="1"/>
      </xdr:nvSpPr>
      <xdr:spPr>
        <a:xfrm>
          <a:off x="4124325" y="359473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8" name="Shape 14">
          <a:extLst>
            <a:ext uri="{FF2B5EF4-FFF2-40B4-BE49-F238E27FC236}">
              <a16:creationId xmlns:a16="http://schemas.microsoft.com/office/drawing/2014/main" id="{BE1440E7-44D5-4461-A68F-0F2542020A2B}"/>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9" name="Shape 11">
          <a:extLst>
            <a:ext uri="{FF2B5EF4-FFF2-40B4-BE49-F238E27FC236}">
              <a16:creationId xmlns:a16="http://schemas.microsoft.com/office/drawing/2014/main" id="{291013CB-7053-426C-8A44-9CEBEE81D34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0" name="Shape 10">
          <a:extLst>
            <a:ext uri="{FF2B5EF4-FFF2-40B4-BE49-F238E27FC236}">
              <a16:creationId xmlns:a16="http://schemas.microsoft.com/office/drawing/2014/main" id="{9CBBD7A0-660F-4171-B875-1F5D31DC9D01}"/>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1" name="Shape 11">
          <a:extLst>
            <a:ext uri="{FF2B5EF4-FFF2-40B4-BE49-F238E27FC236}">
              <a16:creationId xmlns:a16="http://schemas.microsoft.com/office/drawing/2014/main" id="{142D6C89-2DAC-4142-92E6-2E4C9145B9A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2" name="Shape 11">
          <a:extLst>
            <a:ext uri="{FF2B5EF4-FFF2-40B4-BE49-F238E27FC236}">
              <a16:creationId xmlns:a16="http://schemas.microsoft.com/office/drawing/2014/main" id="{74FD6D0A-78E9-408B-85F4-9DF47B682D6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3" name="Shape 11">
          <a:extLst>
            <a:ext uri="{FF2B5EF4-FFF2-40B4-BE49-F238E27FC236}">
              <a16:creationId xmlns:a16="http://schemas.microsoft.com/office/drawing/2014/main" id="{EE1E5ED2-AA28-4C5C-993C-6D5979F8D97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4" name="Shape 11">
          <a:extLst>
            <a:ext uri="{FF2B5EF4-FFF2-40B4-BE49-F238E27FC236}">
              <a16:creationId xmlns:a16="http://schemas.microsoft.com/office/drawing/2014/main" id="{75F14D35-8651-4077-8528-0C0FFE1FAE2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5" name="Shape 11">
          <a:extLst>
            <a:ext uri="{FF2B5EF4-FFF2-40B4-BE49-F238E27FC236}">
              <a16:creationId xmlns:a16="http://schemas.microsoft.com/office/drawing/2014/main" id="{70A42ED9-0692-4BFC-9B93-C72EC7FF03B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6" name="Shape 10">
          <a:extLst>
            <a:ext uri="{FF2B5EF4-FFF2-40B4-BE49-F238E27FC236}">
              <a16:creationId xmlns:a16="http://schemas.microsoft.com/office/drawing/2014/main" id="{AE8623B1-5B0A-46E1-9181-89AFB397A29A}"/>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7" name="Shape 11">
          <a:extLst>
            <a:ext uri="{FF2B5EF4-FFF2-40B4-BE49-F238E27FC236}">
              <a16:creationId xmlns:a16="http://schemas.microsoft.com/office/drawing/2014/main" id="{47D17E0C-93A0-4012-BA11-6D0F129A523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8" name="Shape 11">
          <a:extLst>
            <a:ext uri="{FF2B5EF4-FFF2-40B4-BE49-F238E27FC236}">
              <a16:creationId xmlns:a16="http://schemas.microsoft.com/office/drawing/2014/main" id="{FD8AE2A8-66DF-4D33-B8DA-8B85B4D0334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9" name="Shape 11">
          <a:extLst>
            <a:ext uri="{FF2B5EF4-FFF2-40B4-BE49-F238E27FC236}">
              <a16:creationId xmlns:a16="http://schemas.microsoft.com/office/drawing/2014/main" id="{A2FAAA1E-501F-433A-9920-17EB60229DF8}"/>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0" name="Shape 11">
          <a:extLst>
            <a:ext uri="{FF2B5EF4-FFF2-40B4-BE49-F238E27FC236}">
              <a16:creationId xmlns:a16="http://schemas.microsoft.com/office/drawing/2014/main" id="{E8FC0C83-70A5-4F99-B172-C756B955431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1" name="Shape 11">
          <a:extLst>
            <a:ext uri="{FF2B5EF4-FFF2-40B4-BE49-F238E27FC236}">
              <a16:creationId xmlns:a16="http://schemas.microsoft.com/office/drawing/2014/main" id="{FF10D152-0E3F-4CFF-BBE3-FBF27F78940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2" name="Shape 10">
          <a:extLst>
            <a:ext uri="{FF2B5EF4-FFF2-40B4-BE49-F238E27FC236}">
              <a16:creationId xmlns:a16="http://schemas.microsoft.com/office/drawing/2014/main" id="{A908C510-5B27-43B8-A67C-96D82D79D55E}"/>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3" name="Shape 11">
          <a:extLst>
            <a:ext uri="{FF2B5EF4-FFF2-40B4-BE49-F238E27FC236}">
              <a16:creationId xmlns:a16="http://schemas.microsoft.com/office/drawing/2014/main" id="{371673E8-270E-4EF8-8EDC-3632D32D874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4" name="Shape 11">
          <a:extLst>
            <a:ext uri="{FF2B5EF4-FFF2-40B4-BE49-F238E27FC236}">
              <a16:creationId xmlns:a16="http://schemas.microsoft.com/office/drawing/2014/main" id="{13FBAE1D-C376-4F1E-B182-5BFB29159B8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5" name="Shape 11">
          <a:extLst>
            <a:ext uri="{FF2B5EF4-FFF2-40B4-BE49-F238E27FC236}">
              <a16:creationId xmlns:a16="http://schemas.microsoft.com/office/drawing/2014/main" id="{D3979FBA-3B78-483D-A337-F364AFBFF67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6" name="Shape 11">
          <a:extLst>
            <a:ext uri="{FF2B5EF4-FFF2-40B4-BE49-F238E27FC236}">
              <a16:creationId xmlns:a16="http://schemas.microsoft.com/office/drawing/2014/main" id="{77A7D612-F51F-4ED6-97AE-9F498AA3336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7" name="Shape 11">
          <a:extLst>
            <a:ext uri="{FF2B5EF4-FFF2-40B4-BE49-F238E27FC236}">
              <a16:creationId xmlns:a16="http://schemas.microsoft.com/office/drawing/2014/main" id="{7FDD39C2-4AC3-4C02-8332-FD085526BDD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8" name="Shape 10">
          <a:extLst>
            <a:ext uri="{FF2B5EF4-FFF2-40B4-BE49-F238E27FC236}">
              <a16:creationId xmlns:a16="http://schemas.microsoft.com/office/drawing/2014/main" id="{93C60644-9502-4BD3-9B30-EB99EA563ABB}"/>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9" name="Shape 11">
          <a:extLst>
            <a:ext uri="{FF2B5EF4-FFF2-40B4-BE49-F238E27FC236}">
              <a16:creationId xmlns:a16="http://schemas.microsoft.com/office/drawing/2014/main" id="{C25687C8-AD81-4FEE-AAEC-CCC8CE76F7D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0" name="Shape 11">
          <a:extLst>
            <a:ext uri="{FF2B5EF4-FFF2-40B4-BE49-F238E27FC236}">
              <a16:creationId xmlns:a16="http://schemas.microsoft.com/office/drawing/2014/main" id="{E2331939-3D09-4D11-9174-EB8CA175B35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1" name="Shape 11">
          <a:extLst>
            <a:ext uri="{FF2B5EF4-FFF2-40B4-BE49-F238E27FC236}">
              <a16:creationId xmlns:a16="http://schemas.microsoft.com/office/drawing/2014/main" id="{14977B39-67C9-4648-A2E0-492A74254C2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2" name="Shape 11">
          <a:extLst>
            <a:ext uri="{FF2B5EF4-FFF2-40B4-BE49-F238E27FC236}">
              <a16:creationId xmlns:a16="http://schemas.microsoft.com/office/drawing/2014/main" id="{5E088F34-3C2C-4992-9A84-EA0DACF8861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3" name="Shape 11">
          <a:extLst>
            <a:ext uri="{FF2B5EF4-FFF2-40B4-BE49-F238E27FC236}">
              <a16:creationId xmlns:a16="http://schemas.microsoft.com/office/drawing/2014/main" id="{E83A016A-B7C7-4E7B-881D-210CC36E972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14" name="Shape 10">
          <a:extLst>
            <a:ext uri="{FF2B5EF4-FFF2-40B4-BE49-F238E27FC236}">
              <a16:creationId xmlns:a16="http://schemas.microsoft.com/office/drawing/2014/main" id="{A90887EE-5138-42DB-B5EC-4008964C7B8E}"/>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5" name="Shape 11">
          <a:extLst>
            <a:ext uri="{FF2B5EF4-FFF2-40B4-BE49-F238E27FC236}">
              <a16:creationId xmlns:a16="http://schemas.microsoft.com/office/drawing/2014/main" id="{A1A5466D-3FAA-4CC7-87FA-80D23593854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6" name="Shape 11">
          <a:extLst>
            <a:ext uri="{FF2B5EF4-FFF2-40B4-BE49-F238E27FC236}">
              <a16:creationId xmlns:a16="http://schemas.microsoft.com/office/drawing/2014/main" id="{FF427C3F-0972-4F69-8401-B8593FC02ED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7" name="Shape 11">
          <a:extLst>
            <a:ext uri="{FF2B5EF4-FFF2-40B4-BE49-F238E27FC236}">
              <a16:creationId xmlns:a16="http://schemas.microsoft.com/office/drawing/2014/main" id="{2FDB68C3-2D70-4EE4-866C-978F04E6854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8" name="Shape 11">
          <a:extLst>
            <a:ext uri="{FF2B5EF4-FFF2-40B4-BE49-F238E27FC236}">
              <a16:creationId xmlns:a16="http://schemas.microsoft.com/office/drawing/2014/main" id="{C3DE15F1-52D0-4C61-AF31-88324982762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9" name="Shape 11">
          <a:extLst>
            <a:ext uri="{FF2B5EF4-FFF2-40B4-BE49-F238E27FC236}">
              <a16:creationId xmlns:a16="http://schemas.microsoft.com/office/drawing/2014/main" id="{A0EF767B-254D-4B49-B24B-D853A454D4D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0" name="Shape 10">
          <a:extLst>
            <a:ext uri="{FF2B5EF4-FFF2-40B4-BE49-F238E27FC236}">
              <a16:creationId xmlns:a16="http://schemas.microsoft.com/office/drawing/2014/main" id="{41BF47CF-A063-4D21-80B7-67EE8426700B}"/>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1" name="Shape 11">
          <a:extLst>
            <a:ext uri="{FF2B5EF4-FFF2-40B4-BE49-F238E27FC236}">
              <a16:creationId xmlns:a16="http://schemas.microsoft.com/office/drawing/2014/main" id="{349394EC-0792-4582-ABF5-C2012E46A2D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2" name="Shape 11">
          <a:extLst>
            <a:ext uri="{FF2B5EF4-FFF2-40B4-BE49-F238E27FC236}">
              <a16:creationId xmlns:a16="http://schemas.microsoft.com/office/drawing/2014/main" id="{6BEAC281-A181-4AAB-82A6-914EAC2479A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3" name="Shape 11">
          <a:extLst>
            <a:ext uri="{FF2B5EF4-FFF2-40B4-BE49-F238E27FC236}">
              <a16:creationId xmlns:a16="http://schemas.microsoft.com/office/drawing/2014/main" id="{141CAEE9-5205-4CF0-ABCE-0800866C836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4" name="Shape 11">
          <a:extLst>
            <a:ext uri="{FF2B5EF4-FFF2-40B4-BE49-F238E27FC236}">
              <a16:creationId xmlns:a16="http://schemas.microsoft.com/office/drawing/2014/main" id="{F0AB8441-E5EA-4A47-ABCD-A390FB4451C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5" name="Shape 11">
          <a:extLst>
            <a:ext uri="{FF2B5EF4-FFF2-40B4-BE49-F238E27FC236}">
              <a16:creationId xmlns:a16="http://schemas.microsoft.com/office/drawing/2014/main" id="{F333BC66-D2BB-4FB7-9A91-3E334D1CB47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6" name="Shape 10">
          <a:extLst>
            <a:ext uri="{FF2B5EF4-FFF2-40B4-BE49-F238E27FC236}">
              <a16:creationId xmlns:a16="http://schemas.microsoft.com/office/drawing/2014/main" id="{81960DB1-A36C-417E-9F21-3EE0D15F56E1}"/>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7" name="Shape 11">
          <a:extLst>
            <a:ext uri="{FF2B5EF4-FFF2-40B4-BE49-F238E27FC236}">
              <a16:creationId xmlns:a16="http://schemas.microsoft.com/office/drawing/2014/main" id="{73160937-D438-4BD8-BD0C-5B8654C8431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8" name="Shape 13">
          <a:extLst>
            <a:ext uri="{FF2B5EF4-FFF2-40B4-BE49-F238E27FC236}">
              <a16:creationId xmlns:a16="http://schemas.microsoft.com/office/drawing/2014/main" id="{CB524E80-2360-4E4B-8DCF-9C45B353AB81}"/>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29" name="Shape 14">
          <a:extLst>
            <a:ext uri="{FF2B5EF4-FFF2-40B4-BE49-F238E27FC236}">
              <a16:creationId xmlns:a16="http://schemas.microsoft.com/office/drawing/2014/main" id="{46BF4039-16A5-4FA6-A386-4B5BE0FFAA18}"/>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30" name="Shape 10">
          <a:extLst>
            <a:ext uri="{FF2B5EF4-FFF2-40B4-BE49-F238E27FC236}">
              <a16:creationId xmlns:a16="http://schemas.microsoft.com/office/drawing/2014/main" id="{8B1105BB-8248-4D08-82C6-C78E23660D1A}"/>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31" name="Shape 12">
          <a:extLst>
            <a:ext uri="{FF2B5EF4-FFF2-40B4-BE49-F238E27FC236}">
              <a16:creationId xmlns:a16="http://schemas.microsoft.com/office/drawing/2014/main" id="{8BDB0F62-B56B-4F8A-A595-F720B0DD341B}"/>
            </a:ext>
          </a:extLst>
        </xdr:cNvPr>
        <xdr:cNvSpPr txBox="1"/>
      </xdr:nvSpPr>
      <xdr:spPr>
        <a:xfrm>
          <a:off x="0" y="357854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E474B2D0-AA1A-45E6-86FA-96C894D1BBF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 name="Shape 10">
          <a:extLst>
            <a:ext uri="{FF2B5EF4-FFF2-40B4-BE49-F238E27FC236}">
              <a16:creationId xmlns:a16="http://schemas.microsoft.com/office/drawing/2014/main" id="{6CCCC3D3-01E4-4DD7-8DCB-446A4396EDA5}"/>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8B783D83-E865-4967-972A-114B7FBDF64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9AB26EFB-30D0-43C8-A926-34FC24774E1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78BC7D28-63E5-4DF1-BADF-84E4FCF67AF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 name="Shape 11">
          <a:extLst>
            <a:ext uri="{FF2B5EF4-FFF2-40B4-BE49-F238E27FC236}">
              <a16:creationId xmlns:a16="http://schemas.microsoft.com/office/drawing/2014/main" id="{0DFC48CE-C600-4A09-8747-EFEB56B7487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8B6B1EAB-DFDA-4E60-8AAD-08B462C71AE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9" name="Shape 10">
          <a:extLst>
            <a:ext uri="{FF2B5EF4-FFF2-40B4-BE49-F238E27FC236}">
              <a16:creationId xmlns:a16="http://schemas.microsoft.com/office/drawing/2014/main" id="{74E0E16C-A216-4A3E-BC46-A89279F0B1A7}"/>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0" name="Shape 11">
          <a:extLst>
            <a:ext uri="{FF2B5EF4-FFF2-40B4-BE49-F238E27FC236}">
              <a16:creationId xmlns:a16="http://schemas.microsoft.com/office/drawing/2014/main" id="{1BE4A8F7-B134-4B6C-915D-4CAFA460294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5105EF15-D7C1-4591-91F5-65635579597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20A3415F-A748-48D1-B7FF-9C6B64ECFD3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87643A0E-2272-45B9-AD16-25C1ED6E728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DCC3C48F-380A-428D-BF24-9D0E88E32A0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B6D064E3-384E-4D8F-8F98-0F3661AB34E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707449A5-E5DA-4FEB-A1BB-2F65053B081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27513E01-3736-41E1-BA9D-92CF1AFB3FA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226B84DF-759A-499A-9C20-66175CCA990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7D5B9B79-836B-4DED-9B0A-5731517D156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EFE4F2D1-AF7B-4745-8808-15472242C37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F9C2ED3D-A172-45C0-9BF1-3311C8584E03}"/>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B6964127-D530-41F1-A90B-F674182299A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FBA1A7E2-D5E8-4A5B-A8F1-36396B74247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D14BD37B-D124-4070-9B9F-F2C74B18265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A5F63911-DA0F-4580-AD4B-906D48F58A1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FDA71DEE-7996-4760-A56C-BC0A174AC96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369381B9-2B12-4C2A-9AE7-BDE1B5B7BB19}"/>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1BBAE493-F96A-413F-8C5B-BDC5B087FB0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88B17BB1-4457-4EFB-965E-08B519D0CC0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9B8F11AD-18F7-48F4-9915-37F0C6896EB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E98B8AD8-C2E9-46D6-B525-440BDD01E2F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E35B08D-85E8-4E13-8A0F-CC3CD16800F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2ED0FA37-59C2-441C-983B-8C6547F4A408}"/>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A89707A-6DC1-40B6-94FD-258FAEDC739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19C23E99-11D7-4D13-A99B-47AC9713582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860A1B26-0EF4-4A34-93F2-6A15F6AA64A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9236C64F-3D13-4CC2-916E-81AABD5862C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B723A27E-93F3-441F-814B-E938318EDD5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DED21F85-1873-416D-80EF-4F938E6FE82E}"/>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D1F1586B-954D-4447-BC5C-80F59B144DF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E91F9AC3-7AA4-42AF-AC1B-0B331336A198}"/>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54BE50D8-8B88-467F-A916-E0FDA02583EC}"/>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5950A373-5699-4E06-A005-752B51158EBC}"/>
            </a:ext>
          </a:extLst>
        </xdr:cNvPr>
        <xdr:cNvSpPr txBox="1"/>
      </xdr:nvSpPr>
      <xdr:spPr>
        <a:xfrm>
          <a:off x="4124325" y="1619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BC305D5F-1105-4E47-A4FA-5F5C3CE00901}"/>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9EE728E1-1C0E-4963-B081-2E6E2F68F43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DC2F3C9A-D260-4B80-9492-03407B4FEB97}"/>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A41C92EA-BCBE-4AE2-BB98-6F47DC6348C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57ABF30A-15CA-4825-B5C4-0F6B1122359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34CD1D8C-79A2-46A5-A655-E92EF2AD950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6FC21DBB-2191-482B-A72B-7D1FEAF5885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91D73E3D-2B15-4338-96A9-71B6E103965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6972EA61-6BB2-44DD-9AAD-069BEA1301DD}"/>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D5AD942-E182-4BB4-B07C-F8ED968DFB7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47BB99D9-B4D1-4561-9FF2-033489BA653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E235B61C-030F-4455-9E78-D4CC486A60D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EB97387D-F772-48A9-A860-53F129344F9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4D5E79B6-A91F-47D9-BFD4-803C21901F9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6F3B87F0-CFCD-4BD7-A8A2-AF5AFD9C9420}"/>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E7E1DAE7-E21F-4611-A245-269D524AC59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915AE35-79B0-4AAB-91B9-C8F5AA7D034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5236F35B-3BE2-4AF2-BD4D-64334ABB2FF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6E1B61F5-3ED6-4353-97F7-47F9277992E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3511A8DC-177A-4077-95A2-86E537BA9F8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B48D856A-DA32-4C91-A1A9-3C55C63FCCE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A64126B1-0814-46BD-BA91-7B2AD7EF489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E0550BE9-4D5B-4334-88A9-945960E2771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5189EFBB-C908-4157-B05C-64D2A2D9265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3E073AF5-09C4-49B9-B17D-73449419C1F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77CFA1E4-686B-4CA7-B549-640F8DB141B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2515456C-7D26-45D4-90CF-DCEC216BD5EE}"/>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ACBF4876-1BEC-4B02-8339-7252CDC6F2E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97421436-1FFE-4DA4-9A45-9AFB464F8E3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7DB6E09B-FABD-420A-96FC-E38531489AE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61ACC32B-7D3B-4703-9260-BCCE0130BE4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731B7B63-F11C-4476-ADBB-250D84E7578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FE60F0C3-4354-44D4-B5EE-F181175A292B}"/>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BD44A8A6-5DFA-4FCD-991E-343F33A5986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73B84798-40F2-4B4C-B476-DCF376ADCD9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22D7126F-A728-4450-BA0F-3B6D04D44CB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24F77E2C-75FB-4D66-8DED-8BD60DB4E01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99B0A4E8-C44B-477F-87D5-FC099831468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2E8C86DB-4B94-4022-88F4-76E51AF09150}"/>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B21E5B14-949D-41C1-AAC5-6813CF25150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653F25F7-C94E-4284-AA12-B47DAD30217B}"/>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7F87D777-B6FB-4A05-B892-5E09111E13EC}"/>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54628A65-48BA-4817-B304-948BD19A79D6}"/>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8623A012-7F4B-4614-9C7F-C0C9062B90B5}"/>
            </a:ext>
          </a:extLst>
        </xdr:cNvPr>
        <xdr:cNvSpPr txBox="1"/>
      </xdr:nvSpPr>
      <xdr:spPr>
        <a:xfrm>
          <a:off x="0" y="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88" name="Shape 11">
          <a:extLst>
            <a:ext uri="{FF2B5EF4-FFF2-40B4-BE49-F238E27FC236}">
              <a16:creationId xmlns:a16="http://schemas.microsoft.com/office/drawing/2014/main" id="{2835C808-4D4C-44C4-9C15-0CB96ED144A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89" name="Shape 10">
          <a:extLst>
            <a:ext uri="{FF2B5EF4-FFF2-40B4-BE49-F238E27FC236}">
              <a16:creationId xmlns:a16="http://schemas.microsoft.com/office/drawing/2014/main" id="{2F1CF179-6810-4AE5-8F8B-0ABCC146113F}"/>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0" name="Shape 11">
          <a:extLst>
            <a:ext uri="{FF2B5EF4-FFF2-40B4-BE49-F238E27FC236}">
              <a16:creationId xmlns:a16="http://schemas.microsoft.com/office/drawing/2014/main" id="{02EA0008-60F8-4742-ADCD-E74E63D4EE9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1" name="Shape 11">
          <a:extLst>
            <a:ext uri="{FF2B5EF4-FFF2-40B4-BE49-F238E27FC236}">
              <a16:creationId xmlns:a16="http://schemas.microsoft.com/office/drawing/2014/main" id="{A9A79382-B509-4B34-A1AD-766A4C706BE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2" name="Shape 11">
          <a:extLst>
            <a:ext uri="{FF2B5EF4-FFF2-40B4-BE49-F238E27FC236}">
              <a16:creationId xmlns:a16="http://schemas.microsoft.com/office/drawing/2014/main" id="{97B9E3A9-D918-4992-BDA8-551F9CE51F9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3" name="Shape 11">
          <a:extLst>
            <a:ext uri="{FF2B5EF4-FFF2-40B4-BE49-F238E27FC236}">
              <a16:creationId xmlns:a16="http://schemas.microsoft.com/office/drawing/2014/main" id="{7408923B-882C-4362-A640-3FC550D782C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4" name="Shape 11">
          <a:extLst>
            <a:ext uri="{FF2B5EF4-FFF2-40B4-BE49-F238E27FC236}">
              <a16:creationId xmlns:a16="http://schemas.microsoft.com/office/drawing/2014/main" id="{2617EFC6-ACC2-4921-A307-BE8EC1B5F9A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95" name="Shape 10">
          <a:extLst>
            <a:ext uri="{FF2B5EF4-FFF2-40B4-BE49-F238E27FC236}">
              <a16:creationId xmlns:a16="http://schemas.microsoft.com/office/drawing/2014/main" id="{4F544852-3994-4154-AA30-8BF5F26E7D6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6" name="Shape 11">
          <a:extLst>
            <a:ext uri="{FF2B5EF4-FFF2-40B4-BE49-F238E27FC236}">
              <a16:creationId xmlns:a16="http://schemas.microsoft.com/office/drawing/2014/main" id="{CFC8AF41-8F6C-4A98-A10D-D9749303953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7" name="Shape 11">
          <a:extLst>
            <a:ext uri="{FF2B5EF4-FFF2-40B4-BE49-F238E27FC236}">
              <a16:creationId xmlns:a16="http://schemas.microsoft.com/office/drawing/2014/main" id="{29207E26-9799-4A65-A9BE-1771C44044C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8" name="Shape 11">
          <a:extLst>
            <a:ext uri="{FF2B5EF4-FFF2-40B4-BE49-F238E27FC236}">
              <a16:creationId xmlns:a16="http://schemas.microsoft.com/office/drawing/2014/main" id="{03915973-565D-4199-95B8-38A9444B42D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9" name="Shape 11">
          <a:extLst>
            <a:ext uri="{FF2B5EF4-FFF2-40B4-BE49-F238E27FC236}">
              <a16:creationId xmlns:a16="http://schemas.microsoft.com/office/drawing/2014/main" id="{7DC77F02-C693-499F-9F98-5F868C96C94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0" name="Shape 11">
          <a:extLst>
            <a:ext uri="{FF2B5EF4-FFF2-40B4-BE49-F238E27FC236}">
              <a16:creationId xmlns:a16="http://schemas.microsoft.com/office/drawing/2014/main" id="{BAC0D07F-E39E-49DF-A638-EB1A866BBE5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1" name="Shape 10">
          <a:extLst>
            <a:ext uri="{FF2B5EF4-FFF2-40B4-BE49-F238E27FC236}">
              <a16:creationId xmlns:a16="http://schemas.microsoft.com/office/drawing/2014/main" id="{CBD9A5E9-3B51-4DF1-BC79-9C58943151B4}"/>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2" name="Shape 11">
          <a:extLst>
            <a:ext uri="{FF2B5EF4-FFF2-40B4-BE49-F238E27FC236}">
              <a16:creationId xmlns:a16="http://schemas.microsoft.com/office/drawing/2014/main" id="{BA828DFD-53A6-44A2-85A2-3B96D3ED971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3" name="Shape 11">
          <a:extLst>
            <a:ext uri="{FF2B5EF4-FFF2-40B4-BE49-F238E27FC236}">
              <a16:creationId xmlns:a16="http://schemas.microsoft.com/office/drawing/2014/main" id="{5F96D0DA-A409-4A07-A9FD-A9AA20C6A4B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4" name="Shape 11">
          <a:extLst>
            <a:ext uri="{FF2B5EF4-FFF2-40B4-BE49-F238E27FC236}">
              <a16:creationId xmlns:a16="http://schemas.microsoft.com/office/drawing/2014/main" id="{B3CDC439-47EB-4CB2-980D-CDB80A885DF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5" name="Shape 11">
          <a:extLst>
            <a:ext uri="{FF2B5EF4-FFF2-40B4-BE49-F238E27FC236}">
              <a16:creationId xmlns:a16="http://schemas.microsoft.com/office/drawing/2014/main" id="{D4C779D5-028E-4300-894C-E7CCD06CC44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6" name="Shape 11">
          <a:extLst>
            <a:ext uri="{FF2B5EF4-FFF2-40B4-BE49-F238E27FC236}">
              <a16:creationId xmlns:a16="http://schemas.microsoft.com/office/drawing/2014/main" id="{E045EA15-970D-413D-AAB7-7A0209DE5C8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7" name="Shape 10">
          <a:extLst>
            <a:ext uri="{FF2B5EF4-FFF2-40B4-BE49-F238E27FC236}">
              <a16:creationId xmlns:a16="http://schemas.microsoft.com/office/drawing/2014/main" id="{D731F52E-BC72-4970-B945-71DF8EDB0A39}"/>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8" name="Shape 11">
          <a:extLst>
            <a:ext uri="{FF2B5EF4-FFF2-40B4-BE49-F238E27FC236}">
              <a16:creationId xmlns:a16="http://schemas.microsoft.com/office/drawing/2014/main" id="{A57B2FCD-B7E6-4FAF-B595-1EE3DCE3A33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9" name="Shape 11">
          <a:extLst>
            <a:ext uri="{FF2B5EF4-FFF2-40B4-BE49-F238E27FC236}">
              <a16:creationId xmlns:a16="http://schemas.microsoft.com/office/drawing/2014/main" id="{82D963F1-0269-4C1C-849D-D5C0E3D01A7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0" name="Shape 11">
          <a:extLst>
            <a:ext uri="{FF2B5EF4-FFF2-40B4-BE49-F238E27FC236}">
              <a16:creationId xmlns:a16="http://schemas.microsoft.com/office/drawing/2014/main" id="{4527EDF9-67C8-4D7A-B713-BE015BAAA62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1" name="Shape 11">
          <a:extLst>
            <a:ext uri="{FF2B5EF4-FFF2-40B4-BE49-F238E27FC236}">
              <a16:creationId xmlns:a16="http://schemas.microsoft.com/office/drawing/2014/main" id="{80E14837-0894-4632-959F-01FC97DB3B2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2" name="Shape 11">
          <a:extLst>
            <a:ext uri="{FF2B5EF4-FFF2-40B4-BE49-F238E27FC236}">
              <a16:creationId xmlns:a16="http://schemas.microsoft.com/office/drawing/2014/main" id="{916F8F9B-663D-433D-A920-9BFA410280E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3" name="Shape 10">
          <a:extLst>
            <a:ext uri="{FF2B5EF4-FFF2-40B4-BE49-F238E27FC236}">
              <a16:creationId xmlns:a16="http://schemas.microsoft.com/office/drawing/2014/main" id="{56ABD77A-0831-40A1-B3CA-AE0D7171CCE8}"/>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4" name="Shape 11">
          <a:extLst>
            <a:ext uri="{FF2B5EF4-FFF2-40B4-BE49-F238E27FC236}">
              <a16:creationId xmlns:a16="http://schemas.microsoft.com/office/drawing/2014/main" id="{3A5B7E48-A889-49A7-BE3D-3C773BE91B6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5" name="Shape 11">
          <a:extLst>
            <a:ext uri="{FF2B5EF4-FFF2-40B4-BE49-F238E27FC236}">
              <a16:creationId xmlns:a16="http://schemas.microsoft.com/office/drawing/2014/main" id="{5889057D-CEF6-4F29-8E67-4412D86E33F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6" name="Shape 11">
          <a:extLst>
            <a:ext uri="{FF2B5EF4-FFF2-40B4-BE49-F238E27FC236}">
              <a16:creationId xmlns:a16="http://schemas.microsoft.com/office/drawing/2014/main" id="{282AA4E5-EC28-456E-B751-40C4EC3E423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7" name="Shape 11">
          <a:extLst>
            <a:ext uri="{FF2B5EF4-FFF2-40B4-BE49-F238E27FC236}">
              <a16:creationId xmlns:a16="http://schemas.microsoft.com/office/drawing/2014/main" id="{75ABE4AB-A967-4EC3-B20D-F53AEB0B3ED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8" name="Shape 11">
          <a:extLst>
            <a:ext uri="{FF2B5EF4-FFF2-40B4-BE49-F238E27FC236}">
              <a16:creationId xmlns:a16="http://schemas.microsoft.com/office/drawing/2014/main" id="{6A13A596-C913-4D40-BC1B-6FCA1A3DEF1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9" name="Shape 10">
          <a:extLst>
            <a:ext uri="{FF2B5EF4-FFF2-40B4-BE49-F238E27FC236}">
              <a16:creationId xmlns:a16="http://schemas.microsoft.com/office/drawing/2014/main" id="{BDF0B03B-2732-4E7A-8C92-B3522DC7C09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0" name="Shape 11">
          <a:extLst>
            <a:ext uri="{FF2B5EF4-FFF2-40B4-BE49-F238E27FC236}">
              <a16:creationId xmlns:a16="http://schemas.microsoft.com/office/drawing/2014/main" id="{437CDF8D-A6AE-4B0D-9240-2342D4BE3B6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1" name="Shape 11">
          <a:extLst>
            <a:ext uri="{FF2B5EF4-FFF2-40B4-BE49-F238E27FC236}">
              <a16:creationId xmlns:a16="http://schemas.microsoft.com/office/drawing/2014/main" id="{17B4F492-8B9C-4660-90FC-5F815B5776A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2" name="Shape 11">
          <a:extLst>
            <a:ext uri="{FF2B5EF4-FFF2-40B4-BE49-F238E27FC236}">
              <a16:creationId xmlns:a16="http://schemas.microsoft.com/office/drawing/2014/main" id="{E7DC8D0B-254E-4E76-AAE6-4345C780261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3" name="Shape 11">
          <a:extLst>
            <a:ext uri="{FF2B5EF4-FFF2-40B4-BE49-F238E27FC236}">
              <a16:creationId xmlns:a16="http://schemas.microsoft.com/office/drawing/2014/main" id="{BC839A0E-D61A-40C0-9784-3FA796636EB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4" name="Shape 11">
          <a:extLst>
            <a:ext uri="{FF2B5EF4-FFF2-40B4-BE49-F238E27FC236}">
              <a16:creationId xmlns:a16="http://schemas.microsoft.com/office/drawing/2014/main" id="{DAABB67A-1E67-4C66-B105-495A6D55CD9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5" name="Shape 10">
          <a:extLst>
            <a:ext uri="{FF2B5EF4-FFF2-40B4-BE49-F238E27FC236}">
              <a16:creationId xmlns:a16="http://schemas.microsoft.com/office/drawing/2014/main" id="{1439E2DB-74AA-4D33-B36C-66755646C3A0}"/>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6" name="Shape 11">
          <a:extLst>
            <a:ext uri="{FF2B5EF4-FFF2-40B4-BE49-F238E27FC236}">
              <a16:creationId xmlns:a16="http://schemas.microsoft.com/office/drawing/2014/main" id="{7E719CA6-D22A-43A6-861D-931CB1FB66B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7" name="Shape 13">
          <a:extLst>
            <a:ext uri="{FF2B5EF4-FFF2-40B4-BE49-F238E27FC236}">
              <a16:creationId xmlns:a16="http://schemas.microsoft.com/office/drawing/2014/main" id="{D6C6267B-E0FF-467D-B23B-471BF81D6BEF}"/>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28" name="Shape 14">
          <a:extLst>
            <a:ext uri="{FF2B5EF4-FFF2-40B4-BE49-F238E27FC236}">
              <a16:creationId xmlns:a16="http://schemas.microsoft.com/office/drawing/2014/main" id="{CA55E365-0F4F-4EC2-9DD5-6B347AD42301}"/>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9" name="Shape 10">
          <a:extLst>
            <a:ext uri="{FF2B5EF4-FFF2-40B4-BE49-F238E27FC236}">
              <a16:creationId xmlns:a16="http://schemas.microsoft.com/office/drawing/2014/main" id="{4AC7ABC9-6E75-4829-B015-369736DE0D10}"/>
            </a:ext>
          </a:extLst>
        </xdr:cNvPr>
        <xdr:cNvSpPr txBox="1"/>
      </xdr:nvSpPr>
      <xdr:spPr>
        <a:xfrm>
          <a:off x="4124325" y="90678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30" name="Shape 14">
          <a:extLst>
            <a:ext uri="{FF2B5EF4-FFF2-40B4-BE49-F238E27FC236}">
              <a16:creationId xmlns:a16="http://schemas.microsoft.com/office/drawing/2014/main" id="{15463D8D-D84D-4CEB-A5E1-3A28CB0AFF37}"/>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1" name="Shape 11">
          <a:extLst>
            <a:ext uri="{FF2B5EF4-FFF2-40B4-BE49-F238E27FC236}">
              <a16:creationId xmlns:a16="http://schemas.microsoft.com/office/drawing/2014/main" id="{F8407D55-1952-4BA1-BD1E-5D98861F31F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2" name="Shape 10">
          <a:extLst>
            <a:ext uri="{FF2B5EF4-FFF2-40B4-BE49-F238E27FC236}">
              <a16:creationId xmlns:a16="http://schemas.microsoft.com/office/drawing/2014/main" id="{AE35BD1B-2285-4403-AA37-392DD3DC3912}"/>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3" name="Shape 11">
          <a:extLst>
            <a:ext uri="{FF2B5EF4-FFF2-40B4-BE49-F238E27FC236}">
              <a16:creationId xmlns:a16="http://schemas.microsoft.com/office/drawing/2014/main" id="{F3264A4D-8CEA-4E7A-A360-6808D7C8902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4" name="Shape 11">
          <a:extLst>
            <a:ext uri="{FF2B5EF4-FFF2-40B4-BE49-F238E27FC236}">
              <a16:creationId xmlns:a16="http://schemas.microsoft.com/office/drawing/2014/main" id="{665FDEF9-17EA-481E-8149-71D301147DC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5" name="Shape 11">
          <a:extLst>
            <a:ext uri="{FF2B5EF4-FFF2-40B4-BE49-F238E27FC236}">
              <a16:creationId xmlns:a16="http://schemas.microsoft.com/office/drawing/2014/main" id="{2AC6AF38-144D-419E-AB5C-8092B53A6DC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6" name="Shape 11">
          <a:extLst>
            <a:ext uri="{FF2B5EF4-FFF2-40B4-BE49-F238E27FC236}">
              <a16:creationId xmlns:a16="http://schemas.microsoft.com/office/drawing/2014/main" id="{8E98E631-45F1-4D7C-ABD8-73E62DC015A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7" name="Shape 11">
          <a:extLst>
            <a:ext uri="{FF2B5EF4-FFF2-40B4-BE49-F238E27FC236}">
              <a16:creationId xmlns:a16="http://schemas.microsoft.com/office/drawing/2014/main" id="{806CAFA4-CA77-4F22-BCE0-86836B11D07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8" name="Shape 10">
          <a:extLst>
            <a:ext uri="{FF2B5EF4-FFF2-40B4-BE49-F238E27FC236}">
              <a16:creationId xmlns:a16="http://schemas.microsoft.com/office/drawing/2014/main" id="{31BB6018-2BE9-4488-AA2D-FABE1202FCC2}"/>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9" name="Shape 11">
          <a:extLst>
            <a:ext uri="{FF2B5EF4-FFF2-40B4-BE49-F238E27FC236}">
              <a16:creationId xmlns:a16="http://schemas.microsoft.com/office/drawing/2014/main" id="{BD964A4E-5907-4E50-93C8-5E09D0BD8F6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0" name="Shape 11">
          <a:extLst>
            <a:ext uri="{FF2B5EF4-FFF2-40B4-BE49-F238E27FC236}">
              <a16:creationId xmlns:a16="http://schemas.microsoft.com/office/drawing/2014/main" id="{A7E50038-D313-4B6F-864D-5F8FB85236E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1" name="Shape 11">
          <a:extLst>
            <a:ext uri="{FF2B5EF4-FFF2-40B4-BE49-F238E27FC236}">
              <a16:creationId xmlns:a16="http://schemas.microsoft.com/office/drawing/2014/main" id="{06A31B1C-6D6A-4706-BC20-A2884578E46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2" name="Shape 11">
          <a:extLst>
            <a:ext uri="{FF2B5EF4-FFF2-40B4-BE49-F238E27FC236}">
              <a16:creationId xmlns:a16="http://schemas.microsoft.com/office/drawing/2014/main" id="{540E06AF-65F7-44C5-B9E0-2B23A6A4AA7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3" name="Shape 11">
          <a:extLst>
            <a:ext uri="{FF2B5EF4-FFF2-40B4-BE49-F238E27FC236}">
              <a16:creationId xmlns:a16="http://schemas.microsoft.com/office/drawing/2014/main" id="{28AC67E5-D649-4290-9174-F4EFF80480C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44" name="Shape 10">
          <a:extLst>
            <a:ext uri="{FF2B5EF4-FFF2-40B4-BE49-F238E27FC236}">
              <a16:creationId xmlns:a16="http://schemas.microsoft.com/office/drawing/2014/main" id="{B9CD6515-4C26-4BED-B9DF-3584D30AE3ED}"/>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5" name="Shape 11">
          <a:extLst>
            <a:ext uri="{FF2B5EF4-FFF2-40B4-BE49-F238E27FC236}">
              <a16:creationId xmlns:a16="http://schemas.microsoft.com/office/drawing/2014/main" id="{908CBF61-9992-47EA-B5AC-365A9A34F23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6" name="Shape 11">
          <a:extLst>
            <a:ext uri="{FF2B5EF4-FFF2-40B4-BE49-F238E27FC236}">
              <a16:creationId xmlns:a16="http://schemas.microsoft.com/office/drawing/2014/main" id="{908504E7-B4C4-4F6A-B370-5B2C39E240F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7" name="Shape 11">
          <a:extLst>
            <a:ext uri="{FF2B5EF4-FFF2-40B4-BE49-F238E27FC236}">
              <a16:creationId xmlns:a16="http://schemas.microsoft.com/office/drawing/2014/main" id="{38089857-B528-4E8E-A277-2657D588B6A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8" name="Shape 11">
          <a:extLst>
            <a:ext uri="{FF2B5EF4-FFF2-40B4-BE49-F238E27FC236}">
              <a16:creationId xmlns:a16="http://schemas.microsoft.com/office/drawing/2014/main" id="{17A5C2BC-2412-42C0-9347-FF7384B5D6F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9" name="Shape 11">
          <a:extLst>
            <a:ext uri="{FF2B5EF4-FFF2-40B4-BE49-F238E27FC236}">
              <a16:creationId xmlns:a16="http://schemas.microsoft.com/office/drawing/2014/main" id="{D573ADB9-0CE2-49FA-9C04-68DB13E0679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0" name="Shape 10">
          <a:extLst>
            <a:ext uri="{FF2B5EF4-FFF2-40B4-BE49-F238E27FC236}">
              <a16:creationId xmlns:a16="http://schemas.microsoft.com/office/drawing/2014/main" id="{C9EDA1A3-86F8-48D7-807F-27AE3F14768A}"/>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1" name="Shape 11">
          <a:extLst>
            <a:ext uri="{FF2B5EF4-FFF2-40B4-BE49-F238E27FC236}">
              <a16:creationId xmlns:a16="http://schemas.microsoft.com/office/drawing/2014/main" id="{1E48DCCF-84F9-4383-8936-57EE70C9F2E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2" name="Shape 11">
          <a:extLst>
            <a:ext uri="{FF2B5EF4-FFF2-40B4-BE49-F238E27FC236}">
              <a16:creationId xmlns:a16="http://schemas.microsoft.com/office/drawing/2014/main" id="{EAB195C5-8B20-438D-99F2-820C31356AA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3" name="Shape 11">
          <a:extLst>
            <a:ext uri="{FF2B5EF4-FFF2-40B4-BE49-F238E27FC236}">
              <a16:creationId xmlns:a16="http://schemas.microsoft.com/office/drawing/2014/main" id="{E6EA98E7-2047-444E-B830-DB0B2A5CEA0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4" name="Shape 11">
          <a:extLst>
            <a:ext uri="{FF2B5EF4-FFF2-40B4-BE49-F238E27FC236}">
              <a16:creationId xmlns:a16="http://schemas.microsoft.com/office/drawing/2014/main" id="{201AEA11-A490-45F8-AA53-CE26C74F19E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5" name="Shape 11">
          <a:extLst>
            <a:ext uri="{FF2B5EF4-FFF2-40B4-BE49-F238E27FC236}">
              <a16:creationId xmlns:a16="http://schemas.microsoft.com/office/drawing/2014/main" id="{220C0AA9-2CAF-4A74-AEA0-0872F0E62BF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6" name="Shape 10">
          <a:extLst>
            <a:ext uri="{FF2B5EF4-FFF2-40B4-BE49-F238E27FC236}">
              <a16:creationId xmlns:a16="http://schemas.microsoft.com/office/drawing/2014/main" id="{48D479CE-D06F-4D90-AD40-EA52B90D565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7" name="Shape 11">
          <a:extLst>
            <a:ext uri="{FF2B5EF4-FFF2-40B4-BE49-F238E27FC236}">
              <a16:creationId xmlns:a16="http://schemas.microsoft.com/office/drawing/2014/main" id="{09DBF5DB-720B-4CCB-80F1-9301FF98532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8" name="Shape 11">
          <a:extLst>
            <a:ext uri="{FF2B5EF4-FFF2-40B4-BE49-F238E27FC236}">
              <a16:creationId xmlns:a16="http://schemas.microsoft.com/office/drawing/2014/main" id="{1BCB0CAB-F284-41AC-B56A-3B2C7DBB415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9" name="Shape 11">
          <a:extLst>
            <a:ext uri="{FF2B5EF4-FFF2-40B4-BE49-F238E27FC236}">
              <a16:creationId xmlns:a16="http://schemas.microsoft.com/office/drawing/2014/main" id="{C74060B6-ED5D-400D-AFDD-B53EAFAF761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0" name="Shape 11">
          <a:extLst>
            <a:ext uri="{FF2B5EF4-FFF2-40B4-BE49-F238E27FC236}">
              <a16:creationId xmlns:a16="http://schemas.microsoft.com/office/drawing/2014/main" id="{BD2BDDCD-E31B-4C25-B027-F30DEA67354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1" name="Shape 11">
          <a:extLst>
            <a:ext uri="{FF2B5EF4-FFF2-40B4-BE49-F238E27FC236}">
              <a16:creationId xmlns:a16="http://schemas.microsoft.com/office/drawing/2014/main" id="{238C01A8-C30C-4E14-AADF-88CEEF18F0B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2" name="Shape 10">
          <a:extLst>
            <a:ext uri="{FF2B5EF4-FFF2-40B4-BE49-F238E27FC236}">
              <a16:creationId xmlns:a16="http://schemas.microsoft.com/office/drawing/2014/main" id="{8A2CD759-52FF-4B6A-A8AA-ABCDCECE6BC8}"/>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3" name="Shape 11">
          <a:extLst>
            <a:ext uri="{FF2B5EF4-FFF2-40B4-BE49-F238E27FC236}">
              <a16:creationId xmlns:a16="http://schemas.microsoft.com/office/drawing/2014/main" id="{5C8F26D1-813C-4EC2-8273-BFD572491E4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4" name="Shape 11">
          <a:extLst>
            <a:ext uri="{FF2B5EF4-FFF2-40B4-BE49-F238E27FC236}">
              <a16:creationId xmlns:a16="http://schemas.microsoft.com/office/drawing/2014/main" id="{1A0117C3-853D-4905-99BB-F6F08FD5B76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5" name="Shape 11">
          <a:extLst>
            <a:ext uri="{FF2B5EF4-FFF2-40B4-BE49-F238E27FC236}">
              <a16:creationId xmlns:a16="http://schemas.microsoft.com/office/drawing/2014/main" id="{68C8B5CF-9AFF-442D-8E3E-723A7B6389A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6" name="Shape 11">
          <a:extLst>
            <a:ext uri="{FF2B5EF4-FFF2-40B4-BE49-F238E27FC236}">
              <a16:creationId xmlns:a16="http://schemas.microsoft.com/office/drawing/2014/main" id="{319DB1E2-EA19-4742-BA07-A4695BD100B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7" name="Shape 11">
          <a:extLst>
            <a:ext uri="{FF2B5EF4-FFF2-40B4-BE49-F238E27FC236}">
              <a16:creationId xmlns:a16="http://schemas.microsoft.com/office/drawing/2014/main" id="{EE3B791D-EE00-4345-867B-E12C162F416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8" name="Shape 10">
          <a:extLst>
            <a:ext uri="{FF2B5EF4-FFF2-40B4-BE49-F238E27FC236}">
              <a16:creationId xmlns:a16="http://schemas.microsoft.com/office/drawing/2014/main" id="{A9B54F3D-34A4-4288-A56A-E7F988A4E681}"/>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9" name="Shape 11">
          <a:extLst>
            <a:ext uri="{FF2B5EF4-FFF2-40B4-BE49-F238E27FC236}">
              <a16:creationId xmlns:a16="http://schemas.microsoft.com/office/drawing/2014/main" id="{589CFD79-7076-46EB-9766-E8201B41F24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0" name="Shape 13">
          <a:extLst>
            <a:ext uri="{FF2B5EF4-FFF2-40B4-BE49-F238E27FC236}">
              <a16:creationId xmlns:a16="http://schemas.microsoft.com/office/drawing/2014/main" id="{737AA81A-3873-4B00-9F00-F3B128FC6809}"/>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1" name="Shape 14">
          <a:extLst>
            <a:ext uri="{FF2B5EF4-FFF2-40B4-BE49-F238E27FC236}">
              <a16:creationId xmlns:a16="http://schemas.microsoft.com/office/drawing/2014/main" id="{C21030E2-C0EC-4EDE-A3C7-AB05C1D3B083}"/>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2" name="Shape 10">
          <a:extLst>
            <a:ext uri="{FF2B5EF4-FFF2-40B4-BE49-F238E27FC236}">
              <a16:creationId xmlns:a16="http://schemas.microsoft.com/office/drawing/2014/main" id="{AD5B1712-D9A0-496E-95F6-49843E7C68BF}"/>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3" name="Shape 12">
          <a:extLst>
            <a:ext uri="{FF2B5EF4-FFF2-40B4-BE49-F238E27FC236}">
              <a16:creationId xmlns:a16="http://schemas.microsoft.com/office/drawing/2014/main" id="{D9191384-201A-4383-94DB-8E9C2D5F5118}"/>
            </a:ext>
          </a:extLst>
        </xdr:cNvPr>
        <xdr:cNvSpPr txBox="1"/>
      </xdr:nvSpPr>
      <xdr:spPr>
        <a:xfrm>
          <a:off x="0" y="89058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4" name="Shape 11">
          <a:extLst>
            <a:ext uri="{FF2B5EF4-FFF2-40B4-BE49-F238E27FC236}">
              <a16:creationId xmlns:a16="http://schemas.microsoft.com/office/drawing/2014/main" id="{D3A56724-9D2E-4DC7-A42C-CF028BCBEAA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5" name="Shape 10">
          <a:extLst>
            <a:ext uri="{FF2B5EF4-FFF2-40B4-BE49-F238E27FC236}">
              <a16:creationId xmlns:a16="http://schemas.microsoft.com/office/drawing/2014/main" id="{6C50DF9A-72BD-442B-BDB7-07DBBBA9EEBF}"/>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6" name="Shape 11">
          <a:extLst>
            <a:ext uri="{FF2B5EF4-FFF2-40B4-BE49-F238E27FC236}">
              <a16:creationId xmlns:a16="http://schemas.microsoft.com/office/drawing/2014/main" id="{1B7A9ACF-4006-44F8-8036-505FA30AE26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7" name="Shape 11">
          <a:extLst>
            <a:ext uri="{FF2B5EF4-FFF2-40B4-BE49-F238E27FC236}">
              <a16:creationId xmlns:a16="http://schemas.microsoft.com/office/drawing/2014/main" id="{BA939CC9-C412-4A4C-8055-96DED3CE931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8" name="Shape 11">
          <a:extLst>
            <a:ext uri="{FF2B5EF4-FFF2-40B4-BE49-F238E27FC236}">
              <a16:creationId xmlns:a16="http://schemas.microsoft.com/office/drawing/2014/main" id="{86DC7D4B-FA42-4763-9303-244EF09A6ED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9" name="Shape 11">
          <a:extLst>
            <a:ext uri="{FF2B5EF4-FFF2-40B4-BE49-F238E27FC236}">
              <a16:creationId xmlns:a16="http://schemas.microsoft.com/office/drawing/2014/main" id="{AEFF2C5A-5DB2-4FF4-9FDC-FE6104BAC61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0" name="Shape 11">
          <a:extLst>
            <a:ext uri="{FF2B5EF4-FFF2-40B4-BE49-F238E27FC236}">
              <a16:creationId xmlns:a16="http://schemas.microsoft.com/office/drawing/2014/main" id="{7BF1D7FD-4127-43AF-AD6A-7D5355D1C1F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1" name="Shape 10">
          <a:extLst>
            <a:ext uri="{FF2B5EF4-FFF2-40B4-BE49-F238E27FC236}">
              <a16:creationId xmlns:a16="http://schemas.microsoft.com/office/drawing/2014/main" id="{461C9E51-71A6-447D-B136-9D409AA411AA}"/>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2" name="Shape 11">
          <a:extLst>
            <a:ext uri="{FF2B5EF4-FFF2-40B4-BE49-F238E27FC236}">
              <a16:creationId xmlns:a16="http://schemas.microsoft.com/office/drawing/2014/main" id="{EDA3E22B-E591-4688-A381-10B0269E6D1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3" name="Shape 11">
          <a:extLst>
            <a:ext uri="{FF2B5EF4-FFF2-40B4-BE49-F238E27FC236}">
              <a16:creationId xmlns:a16="http://schemas.microsoft.com/office/drawing/2014/main" id="{4CB7415C-D278-496F-A5AD-C7C29C8DE53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4" name="Shape 11">
          <a:extLst>
            <a:ext uri="{FF2B5EF4-FFF2-40B4-BE49-F238E27FC236}">
              <a16:creationId xmlns:a16="http://schemas.microsoft.com/office/drawing/2014/main" id="{DE45956D-1856-4A72-9701-2409718846C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5" name="Shape 11">
          <a:extLst>
            <a:ext uri="{FF2B5EF4-FFF2-40B4-BE49-F238E27FC236}">
              <a16:creationId xmlns:a16="http://schemas.microsoft.com/office/drawing/2014/main" id="{EB1D914A-25F7-4E22-9C1E-7DD805AB783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6" name="Shape 11">
          <a:extLst>
            <a:ext uri="{FF2B5EF4-FFF2-40B4-BE49-F238E27FC236}">
              <a16:creationId xmlns:a16="http://schemas.microsoft.com/office/drawing/2014/main" id="{86E10D4F-CCD0-4AC7-84FC-B385C8FAEF0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7" name="Shape 10">
          <a:extLst>
            <a:ext uri="{FF2B5EF4-FFF2-40B4-BE49-F238E27FC236}">
              <a16:creationId xmlns:a16="http://schemas.microsoft.com/office/drawing/2014/main" id="{46DD62E7-6A03-4029-AD7C-12CB14E3883E}"/>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8" name="Shape 11">
          <a:extLst>
            <a:ext uri="{FF2B5EF4-FFF2-40B4-BE49-F238E27FC236}">
              <a16:creationId xmlns:a16="http://schemas.microsoft.com/office/drawing/2014/main" id="{F0C2C63D-1141-40B8-9323-7ACB3828CA9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9" name="Shape 11">
          <a:extLst>
            <a:ext uri="{FF2B5EF4-FFF2-40B4-BE49-F238E27FC236}">
              <a16:creationId xmlns:a16="http://schemas.microsoft.com/office/drawing/2014/main" id="{CC37316C-1F5F-4F67-863F-F8CF1183F01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0" name="Shape 11">
          <a:extLst>
            <a:ext uri="{FF2B5EF4-FFF2-40B4-BE49-F238E27FC236}">
              <a16:creationId xmlns:a16="http://schemas.microsoft.com/office/drawing/2014/main" id="{4AC9773A-683A-446B-A18F-C1AED1AFA43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1" name="Shape 11">
          <a:extLst>
            <a:ext uri="{FF2B5EF4-FFF2-40B4-BE49-F238E27FC236}">
              <a16:creationId xmlns:a16="http://schemas.microsoft.com/office/drawing/2014/main" id="{13F503D0-91F8-4EE8-BB5D-B66F6E86AE8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2" name="Shape 11">
          <a:extLst>
            <a:ext uri="{FF2B5EF4-FFF2-40B4-BE49-F238E27FC236}">
              <a16:creationId xmlns:a16="http://schemas.microsoft.com/office/drawing/2014/main" id="{6A8D6513-D4F1-4D4A-992F-68D1E01CCA1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3" name="Shape 10">
          <a:extLst>
            <a:ext uri="{FF2B5EF4-FFF2-40B4-BE49-F238E27FC236}">
              <a16:creationId xmlns:a16="http://schemas.microsoft.com/office/drawing/2014/main" id="{C4C8BD38-E80A-4EFD-858E-D35A1CC66665}"/>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4" name="Shape 11">
          <a:extLst>
            <a:ext uri="{FF2B5EF4-FFF2-40B4-BE49-F238E27FC236}">
              <a16:creationId xmlns:a16="http://schemas.microsoft.com/office/drawing/2014/main" id="{4690C732-CED6-4689-8E33-A02658D7B74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5" name="Shape 11">
          <a:extLst>
            <a:ext uri="{FF2B5EF4-FFF2-40B4-BE49-F238E27FC236}">
              <a16:creationId xmlns:a16="http://schemas.microsoft.com/office/drawing/2014/main" id="{E6AFF06A-E55F-4FDE-87F3-F3D6BAE3B92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6" name="Shape 11">
          <a:extLst>
            <a:ext uri="{FF2B5EF4-FFF2-40B4-BE49-F238E27FC236}">
              <a16:creationId xmlns:a16="http://schemas.microsoft.com/office/drawing/2014/main" id="{CDD47FB3-1F89-4511-9116-D569A704B6E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7" name="Shape 11">
          <a:extLst>
            <a:ext uri="{FF2B5EF4-FFF2-40B4-BE49-F238E27FC236}">
              <a16:creationId xmlns:a16="http://schemas.microsoft.com/office/drawing/2014/main" id="{84DA42B2-B16F-49FB-9B84-532DED1CECE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8" name="Shape 11">
          <a:extLst>
            <a:ext uri="{FF2B5EF4-FFF2-40B4-BE49-F238E27FC236}">
              <a16:creationId xmlns:a16="http://schemas.microsoft.com/office/drawing/2014/main" id="{0DE4E42C-28C4-464A-BB10-255210A0E2F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9" name="Shape 10">
          <a:extLst>
            <a:ext uri="{FF2B5EF4-FFF2-40B4-BE49-F238E27FC236}">
              <a16:creationId xmlns:a16="http://schemas.microsoft.com/office/drawing/2014/main" id="{63EF62CB-8F2F-4231-95C2-AFF493025C50}"/>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0" name="Shape 11">
          <a:extLst>
            <a:ext uri="{FF2B5EF4-FFF2-40B4-BE49-F238E27FC236}">
              <a16:creationId xmlns:a16="http://schemas.microsoft.com/office/drawing/2014/main" id="{1BDD70E2-50CD-444B-B8A7-87257CA6BBB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1" name="Shape 11">
          <a:extLst>
            <a:ext uri="{FF2B5EF4-FFF2-40B4-BE49-F238E27FC236}">
              <a16:creationId xmlns:a16="http://schemas.microsoft.com/office/drawing/2014/main" id="{69DED1AD-883F-44BF-84DD-E5C1FC03DE2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2" name="Shape 11">
          <a:extLst>
            <a:ext uri="{FF2B5EF4-FFF2-40B4-BE49-F238E27FC236}">
              <a16:creationId xmlns:a16="http://schemas.microsoft.com/office/drawing/2014/main" id="{EA66C4D0-0B0D-4F79-8F51-BC393939090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3" name="Shape 11">
          <a:extLst>
            <a:ext uri="{FF2B5EF4-FFF2-40B4-BE49-F238E27FC236}">
              <a16:creationId xmlns:a16="http://schemas.microsoft.com/office/drawing/2014/main" id="{24327A67-F297-4975-9415-9220909BF4A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4" name="Shape 11">
          <a:extLst>
            <a:ext uri="{FF2B5EF4-FFF2-40B4-BE49-F238E27FC236}">
              <a16:creationId xmlns:a16="http://schemas.microsoft.com/office/drawing/2014/main" id="{CB128BCC-7196-4F7D-8E12-3C1EC2487A49}"/>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05" name="Shape 10">
          <a:extLst>
            <a:ext uri="{FF2B5EF4-FFF2-40B4-BE49-F238E27FC236}">
              <a16:creationId xmlns:a16="http://schemas.microsoft.com/office/drawing/2014/main" id="{96312833-2D29-43E7-9F74-1D42E0182E8C}"/>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6" name="Shape 11">
          <a:extLst>
            <a:ext uri="{FF2B5EF4-FFF2-40B4-BE49-F238E27FC236}">
              <a16:creationId xmlns:a16="http://schemas.microsoft.com/office/drawing/2014/main" id="{B841C4B8-09A0-4C7C-8EA6-20DADB222C8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7" name="Shape 11">
          <a:extLst>
            <a:ext uri="{FF2B5EF4-FFF2-40B4-BE49-F238E27FC236}">
              <a16:creationId xmlns:a16="http://schemas.microsoft.com/office/drawing/2014/main" id="{54D25FAD-2ADF-49BA-BA16-E7518D9E6F4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8" name="Shape 11">
          <a:extLst>
            <a:ext uri="{FF2B5EF4-FFF2-40B4-BE49-F238E27FC236}">
              <a16:creationId xmlns:a16="http://schemas.microsoft.com/office/drawing/2014/main" id="{3A357ABF-032C-448A-92D4-892832F95CD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9" name="Shape 11">
          <a:extLst>
            <a:ext uri="{FF2B5EF4-FFF2-40B4-BE49-F238E27FC236}">
              <a16:creationId xmlns:a16="http://schemas.microsoft.com/office/drawing/2014/main" id="{94A3E542-E7AC-40A3-8A49-A331DB7E6BE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0" name="Shape 11">
          <a:extLst>
            <a:ext uri="{FF2B5EF4-FFF2-40B4-BE49-F238E27FC236}">
              <a16:creationId xmlns:a16="http://schemas.microsoft.com/office/drawing/2014/main" id="{36781733-7B8B-4A2D-9E7B-312894483DD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1" name="Shape 10">
          <a:extLst>
            <a:ext uri="{FF2B5EF4-FFF2-40B4-BE49-F238E27FC236}">
              <a16:creationId xmlns:a16="http://schemas.microsoft.com/office/drawing/2014/main" id="{FD6C852E-00DA-401D-8F5A-307EEAD0674C}"/>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2" name="Shape 11">
          <a:extLst>
            <a:ext uri="{FF2B5EF4-FFF2-40B4-BE49-F238E27FC236}">
              <a16:creationId xmlns:a16="http://schemas.microsoft.com/office/drawing/2014/main" id="{BDC41ACA-88FA-4F37-9279-EB51BD5997B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3" name="Shape 13">
          <a:extLst>
            <a:ext uri="{FF2B5EF4-FFF2-40B4-BE49-F238E27FC236}">
              <a16:creationId xmlns:a16="http://schemas.microsoft.com/office/drawing/2014/main" id="{646C9473-1685-42F8-8794-97A58EF33B6C}"/>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4" name="Shape 14">
          <a:extLst>
            <a:ext uri="{FF2B5EF4-FFF2-40B4-BE49-F238E27FC236}">
              <a16:creationId xmlns:a16="http://schemas.microsoft.com/office/drawing/2014/main" id="{2D530A01-5DD0-48C6-A367-EC2B1CDF940F}"/>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5" name="Shape 10">
          <a:extLst>
            <a:ext uri="{FF2B5EF4-FFF2-40B4-BE49-F238E27FC236}">
              <a16:creationId xmlns:a16="http://schemas.microsoft.com/office/drawing/2014/main" id="{410D7796-008D-40CE-9A7E-E055EE0D2AB3}"/>
            </a:ext>
          </a:extLst>
        </xdr:cNvPr>
        <xdr:cNvSpPr txBox="1"/>
      </xdr:nvSpPr>
      <xdr:spPr>
        <a:xfrm>
          <a:off x="4124325" y="181356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6" name="Shape 14">
          <a:extLst>
            <a:ext uri="{FF2B5EF4-FFF2-40B4-BE49-F238E27FC236}">
              <a16:creationId xmlns:a16="http://schemas.microsoft.com/office/drawing/2014/main" id="{941F0CC8-E81B-4153-9084-9DF32E7DA129}"/>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7" name="Shape 11">
          <a:extLst>
            <a:ext uri="{FF2B5EF4-FFF2-40B4-BE49-F238E27FC236}">
              <a16:creationId xmlns:a16="http://schemas.microsoft.com/office/drawing/2014/main" id="{656F365F-8DFC-4472-AFEB-63A0F6CB068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8" name="Shape 10">
          <a:extLst>
            <a:ext uri="{FF2B5EF4-FFF2-40B4-BE49-F238E27FC236}">
              <a16:creationId xmlns:a16="http://schemas.microsoft.com/office/drawing/2014/main" id="{77CCA8FF-33B0-4E48-8D55-DB3B494A50CD}"/>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9" name="Shape 11">
          <a:extLst>
            <a:ext uri="{FF2B5EF4-FFF2-40B4-BE49-F238E27FC236}">
              <a16:creationId xmlns:a16="http://schemas.microsoft.com/office/drawing/2014/main" id="{C4FA5B45-5E8D-4A7A-96B9-8A83F60835E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0" name="Shape 11">
          <a:extLst>
            <a:ext uri="{FF2B5EF4-FFF2-40B4-BE49-F238E27FC236}">
              <a16:creationId xmlns:a16="http://schemas.microsoft.com/office/drawing/2014/main" id="{0E7E9B2A-3D22-445A-8B5E-A7F654780E8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1" name="Shape 11">
          <a:extLst>
            <a:ext uri="{FF2B5EF4-FFF2-40B4-BE49-F238E27FC236}">
              <a16:creationId xmlns:a16="http://schemas.microsoft.com/office/drawing/2014/main" id="{19269695-B442-4A8D-9F28-1EAA29AEB84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2" name="Shape 11">
          <a:extLst>
            <a:ext uri="{FF2B5EF4-FFF2-40B4-BE49-F238E27FC236}">
              <a16:creationId xmlns:a16="http://schemas.microsoft.com/office/drawing/2014/main" id="{D0DEE302-F6EF-461C-9676-81D641C375C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3" name="Shape 11">
          <a:extLst>
            <a:ext uri="{FF2B5EF4-FFF2-40B4-BE49-F238E27FC236}">
              <a16:creationId xmlns:a16="http://schemas.microsoft.com/office/drawing/2014/main" id="{CC17D287-1123-4DE7-8861-44F88CDEAFE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24" name="Shape 10">
          <a:extLst>
            <a:ext uri="{FF2B5EF4-FFF2-40B4-BE49-F238E27FC236}">
              <a16:creationId xmlns:a16="http://schemas.microsoft.com/office/drawing/2014/main" id="{A85EA45B-3FE1-4AF8-B5C5-69D18A34861A}"/>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5" name="Shape 11">
          <a:extLst>
            <a:ext uri="{FF2B5EF4-FFF2-40B4-BE49-F238E27FC236}">
              <a16:creationId xmlns:a16="http://schemas.microsoft.com/office/drawing/2014/main" id="{145766D7-1C47-41DD-B624-238B96CBF70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6" name="Shape 11">
          <a:extLst>
            <a:ext uri="{FF2B5EF4-FFF2-40B4-BE49-F238E27FC236}">
              <a16:creationId xmlns:a16="http://schemas.microsoft.com/office/drawing/2014/main" id="{F5055CF3-A7F5-4F9D-B962-0D940E7C5AB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7" name="Shape 11">
          <a:extLst>
            <a:ext uri="{FF2B5EF4-FFF2-40B4-BE49-F238E27FC236}">
              <a16:creationId xmlns:a16="http://schemas.microsoft.com/office/drawing/2014/main" id="{0D00E1EF-4106-4148-91B0-F8991EAD301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8" name="Shape 11">
          <a:extLst>
            <a:ext uri="{FF2B5EF4-FFF2-40B4-BE49-F238E27FC236}">
              <a16:creationId xmlns:a16="http://schemas.microsoft.com/office/drawing/2014/main" id="{1805223F-9BB5-428D-BBA6-36786BC2178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9" name="Shape 11">
          <a:extLst>
            <a:ext uri="{FF2B5EF4-FFF2-40B4-BE49-F238E27FC236}">
              <a16:creationId xmlns:a16="http://schemas.microsoft.com/office/drawing/2014/main" id="{A9489E5A-1DFB-480C-80E8-1B89617BD55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0" name="Shape 10">
          <a:extLst>
            <a:ext uri="{FF2B5EF4-FFF2-40B4-BE49-F238E27FC236}">
              <a16:creationId xmlns:a16="http://schemas.microsoft.com/office/drawing/2014/main" id="{F9511DA4-4130-4EBC-B0D8-D2B181072C06}"/>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1" name="Shape 11">
          <a:extLst>
            <a:ext uri="{FF2B5EF4-FFF2-40B4-BE49-F238E27FC236}">
              <a16:creationId xmlns:a16="http://schemas.microsoft.com/office/drawing/2014/main" id="{695D99C5-449E-4ED6-8886-5C82C90C525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2" name="Shape 11">
          <a:extLst>
            <a:ext uri="{FF2B5EF4-FFF2-40B4-BE49-F238E27FC236}">
              <a16:creationId xmlns:a16="http://schemas.microsoft.com/office/drawing/2014/main" id="{D291A6DD-76BA-4C63-825A-27383A96B55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3" name="Shape 11">
          <a:extLst>
            <a:ext uri="{FF2B5EF4-FFF2-40B4-BE49-F238E27FC236}">
              <a16:creationId xmlns:a16="http://schemas.microsoft.com/office/drawing/2014/main" id="{4205304F-8B12-4A5C-BBF3-4B5A6040160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4" name="Shape 11">
          <a:extLst>
            <a:ext uri="{FF2B5EF4-FFF2-40B4-BE49-F238E27FC236}">
              <a16:creationId xmlns:a16="http://schemas.microsoft.com/office/drawing/2014/main" id="{9A4BD45A-092B-4633-A2CD-6E1128B8C1C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5" name="Shape 11">
          <a:extLst>
            <a:ext uri="{FF2B5EF4-FFF2-40B4-BE49-F238E27FC236}">
              <a16:creationId xmlns:a16="http://schemas.microsoft.com/office/drawing/2014/main" id="{4F4C492A-1517-40DC-8B1D-D34A762E364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6" name="Shape 10">
          <a:extLst>
            <a:ext uri="{FF2B5EF4-FFF2-40B4-BE49-F238E27FC236}">
              <a16:creationId xmlns:a16="http://schemas.microsoft.com/office/drawing/2014/main" id="{298F1A8A-0064-4B80-B4C1-5EBB07DA276B}"/>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7" name="Shape 11">
          <a:extLst>
            <a:ext uri="{FF2B5EF4-FFF2-40B4-BE49-F238E27FC236}">
              <a16:creationId xmlns:a16="http://schemas.microsoft.com/office/drawing/2014/main" id="{335D8B41-82F3-4FEC-B164-92A78C46BC2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8" name="Shape 11">
          <a:extLst>
            <a:ext uri="{FF2B5EF4-FFF2-40B4-BE49-F238E27FC236}">
              <a16:creationId xmlns:a16="http://schemas.microsoft.com/office/drawing/2014/main" id="{5979EBA2-C858-4629-8EAF-F801A860C44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9" name="Shape 11">
          <a:extLst>
            <a:ext uri="{FF2B5EF4-FFF2-40B4-BE49-F238E27FC236}">
              <a16:creationId xmlns:a16="http://schemas.microsoft.com/office/drawing/2014/main" id="{088592BC-493D-4933-BCBF-A54F7F5AA9B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0" name="Shape 11">
          <a:extLst>
            <a:ext uri="{FF2B5EF4-FFF2-40B4-BE49-F238E27FC236}">
              <a16:creationId xmlns:a16="http://schemas.microsoft.com/office/drawing/2014/main" id="{2CC105A8-F4A8-4147-BA53-6003A5C083F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1" name="Shape 11">
          <a:extLst>
            <a:ext uri="{FF2B5EF4-FFF2-40B4-BE49-F238E27FC236}">
              <a16:creationId xmlns:a16="http://schemas.microsoft.com/office/drawing/2014/main" id="{F864DB94-B65B-41D4-B915-A59EF7B8010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2" name="Shape 10">
          <a:extLst>
            <a:ext uri="{FF2B5EF4-FFF2-40B4-BE49-F238E27FC236}">
              <a16:creationId xmlns:a16="http://schemas.microsoft.com/office/drawing/2014/main" id="{1DF9541D-D4BA-45C8-AEB3-551BAD6E0EBA}"/>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3" name="Shape 11">
          <a:extLst>
            <a:ext uri="{FF2B5EF4-FFF2-40B4-BE49-F238E27FC236}">
              <a16:creationId xmlns:a16="http://schemas.microsoft.com/office/drawing/2014/main" id="{5F4C64D9-FC35-4725-BB32-753C7FA7A31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4" name="Shape 11">
          <a:extLst>
            <a:ext uri="{FF2B5EF4-FFF2-40B4-BE49-F238E27FC236}">
              <a16:creationId xmlns:a16="http://schemas.microsoft.com/office/drawing/2014/main" id="{EDAAAEA2-635C-48EA-99B3-FA4E61DA2B7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5" name="Shape 11">
          <a:extLst>
            <a:ext uri="{FF2B5EF4-FFF2-40B4-BE49-F238E27FC236}">
              <a16:creationId xmlns:a16="http://schemas.microsoft.com/office/drawing/2014/main" id="{E8251EE1-3EC1-449B-B19C-DCBB5836603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6" name="Shape 11">
          <a:extLst>
            <a:ext uri="{FF2B5EF4-FFF2-40B4-BE49-F238E27FC236}">
              <a16:creationId xmlns:a16="http://schemas.microsoft.com/office/drawing/2014/main" id="{6B22AF94-4447-40F8-BA09-FA1A0F14B74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7" name="Shape 11">
          <a:extLst>
            <a:ext uri="{FF2B5EF4-FFF2-40B4-BE49-F238E27FC236}">
              <a16:creationId xmlns:a16="http://schemas.microsoft.com/office/drawing/2014/main" id="{B2D32B3E-61B9-40B8-B07C-67630C440B2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8" name="Shape 10">
          <a:extLst>
            <a:ext uri="{FF2B5EF4-FFF2-40B4-BE49-F238E27FC236}">
              <a16:creationId xmlns:a16="http://schemas.microsoft.com/office/drawing/2014/main" id="{A32B3EF5-10CD-47C8-A391-DC693C03EC13}"/>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9" name="Shape 11">
          <a:extLst>
            <a:ext uri="{FF2B5EF4-FFF2-40B4-BE49-F238E27FC236}">
              <a16:creationId xmlns:a16="http://schemas.microsoft.com/office/drawing/2014/main" id="{48E6163B-CB47-4C55-AFAE-1074507330B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0" name="Shape 11">
          <a:extLst>
            <a:ext uri="{FF2B5EF4-FFF2-40B4-BE49-F238E27FC236}">
              <a16:creationId xmlns:a16="http://schemas.microsoft.com/office/drawing/2014/main" id="{7E92B192-C8B1-4BFC-9C87-2B4F69A06E2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1" name="Shape 11">
          <a:extLst>
            <a:ext uri="{FF2B5EF4-FFF2-40B4-BE49-F238E27FC236}">
              <a16:creationId xmlns:a16="http://schemas.microsoft.com/office/drawing/2014/main" id="{C32A5C20-E61F-49E0-9365-FD839D99F70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2" name="Shape 11">
          <a:extLst>
            <a:ext uri="{FF2B5EF4-FFF2-40B4-BE49-F238E27FC236}">
              <a16:creationId xmlns:a16="http://schemas.microsoft.com/office/drawing/2014/main" id="{0B835DBC-14EB-4ABA-9A70-E470C8A8537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3" name="Shape 11">
          <a:extLst>
            <a:ext uri="{FF2B5EF4-FFF2-40B4-BE49-F238E27FC236}">
              <a16:creationId xmlns:a16="http://schemas.microsoft.com/office/drawing/2014/main" id="{F984CBE2-997B-416D-817A-27E9E361AEF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4" name="Shape 10">
          <a:extLst>
            <a:ext uri="{FF2B5EF4-FFF2-40B4-BE49-F238E27FC236}">
              <a16:creationId xmlns:a16="http://schemas.microsoft.com/office/drawing/2014/main" id="{FCBCD8BD-B8DB-47B4-A845-8A1DF97FAD64}"/>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5" name="Shape 11">
          <a:extLst>
            <a:ext uri="{FF2B5EF4-FFF2-40B4-BE49-F238E27FC236}">
              <a16:creationId xmlns:a16="http://schemas.microsoft.com/office/drawing/2014/main" id="{12D620A9-E682-4CAF-97C3-96292C747FD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6" name="Shape 13">
          <a:extLst>
            <a:ext uri="{FF2B5EF4-FFF2-40B4-BE49-F238E27FC236}">
              <a16:creationId xmlns:a16="http://schemas.microsoft.com/office/drawing/2014/main" id="{233D0D4E-1DDF-4DC2-9856-082D3BEC28D8}"/>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7" name="Shape 14">
          <a:extLst>
            <a:ext uri="{FF2B5EF4-FFF2-40B4-BE49-F238E27FC236}">
              <a16:creationId xmlns:a16="http://schemas.microsoft.com/office/drawing/2014/main" id="{393A5B91-C6D0-4220-845A-83CC57942497}"/>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8" name="Shape 10">
          <a:extLst>
            <a:ext uri="{FF2B5EF4-FFF2-40B4-BE49-F238E27FC236}">
              <a16:creationId xmlns:a16="http://schemas.microsoft.com/office/drawing/2014/main" id="{76B41EA9-2FA4-4650-B9E8-9EBAC75413A5}"/>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9" name="Shape 12">
          <a:extLst>
            <a:ext uri="{FF2B5EF4-FFF2-40B4-BE49-F238E27FC236}">
              <a16:creationId xmlns:a16="http://schemas.microsoft.com/office/drawing/2014/main" id="{E5EB10A1-08C9-46F1-8C06-703A25D0B8B6}"/>
            </a:ext>
          </a:extLst>
        </xdr:cNvPr>
        <xdr:cNvSpPr txBox="1"/>
      </xdr:nvSpPr>
      <xdr:spPr>
        <a:xfrm>
          <a:off x="0" y="179736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0" name="Shape 11">
          <a:extLst>
            <a:ext uri="{FF2B5EF4-FFF2-40B4-BE49-F238E27FC236}">
              <a16:creationId xmlns:a16="http://schemas.microsoft.com/office/drawing/2014/main" id="{5F5EC8CB-33CE-4E90-8F63-7C1B65C67F9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1" name="Shape 10">
          <a:extLst>
            <a:ext uri="{FF2B5EF4-FFF2-40B4-BE49-F238E27FC236}">
              <a16:creationId xmlns:a16="http://schemas.microsoft.com/office/drawing/2014/main" id="{274262B0-1CEE-4E09-BD62-14A794605167}"/>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2" name="Shape 11">
          <a:extLst>
            <a:ext uri="{FF2B5EF4-FFF2-40B4-BE49-F238E27FC236}">
              <a16:creationId xmlns:a16="http://schemas.microsoft.com/office/drawing/2014/main" id="{CEA04739-B4C3-4CBF-A991-F6CA785B67D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3" name="Shape 11">
          <a:extLst>
            <a:ext uri="{FF2B5EF4-FFF2-40B4-BE49-F238E27FC236}">
              <a16:creationId xmlns:a16="http://schemas.microsoft.com/office/drawing/2014/main" id="{A3E4A020-9A18-4799-82DF-0D957445719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4" name="Shape 11">
          <a:extLst>
            <a:ext uri="{FF2B5EF4-FFF2-40B4-BE49-F238E27FC236}">
              <a16:creationId xmlns:a16="http://schemas.microsoft.com/office/drawing/2014/main" id="{211CDDB4-8404-4CA4-8A8F-54C17E772D1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5" name="Shape 11">
          <a:extLst>
            <a:ext uri="{FF2B5EF4-FFF2-40B4-BE49-F238E27FC236}">
              <a16:creationId xmlns:a16="http://schemas.microsoft.com/office/drawing/2014/main" id="{F913BBD3-81B3-48C3-B182-DB4B1CD30E5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6" name="Shape 11">
          <a:extLst>
            <a:ext uri="{FF2B5EF4-FFF2-40B4-BE49-F238E27FC236}">
              <a16:creationId xmlns:a16="http://schemas.microsoft.com/office/drawing/2014/main" id="{C73AF24C-0962-40A9-8096-AF59FE3A35D0}"/>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7" name="Shape 10">
          <a:extLst>
            <a:ext uri="{FF2B5EF4-FFF2-40B4-BE49-F238E27FC236}">
              <a16:creationId xmlns:a16="http://schemas.microsoft.com/office/drawing/2014/main" id="{EE158B98-DB41-47E6-925A-F19B6502ECAE}"/>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8" name="Shape 11">
          <a:extLst>
            <a:ext uri="{FF2B5EF4-FFF2-40B4-BE49-F238E27FC236}">
              <a16:creationId xmlns:a16="http://schemas.microsoft.com/office/drawing/2014/main" id="{1B2D2FCC-9AB1-47D2-9104-B46BB168ED9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9" name="Shape 11">
          <a:extLst>
            <a:ext uri="{FF2B5EF4-FFF2-40B4-BE49-F238E27FC236}">
              <a16:creationId xmlns:a16="http://schemas.microsoft.com/office/drawing/2014/main" id="{A4159D4D-8C4A-4659-B1FB-6CAA94694640}"/>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0" name="Shape 11">
          <a:extLst>
            <a:ext uri="{FF2B5EF4-FFF2-40B4-BE49-F238E27FC236}">
              <a16:creationId xmlns:a16="http://schemas.microsoft.com/office/drawing/2014/main" id="{64D2DFED-22DE-4551-A2EA-93DB40FC054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1" name="Shape 11">
          <a:extLst>
            <a:ext uri="{FF2B5EF4-FFF2-40B4-BE49-F238E27FC236}">
              <a16:creationId xmlns:a16="http://schemas.microsoft.com/office/drawing/2014/main" id="{EED9AD2E-20CE-46E3-989D-F9A97CBC3D2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2" name="Shape 11">
          <a:extLst>
            <a:ext uri="{FF2B5EF4-FFF2-40B4-BE49-F238E27FC236}">
              <a16:creationId xmlns:a16="http://schemas.microsoft.com/office/drawing/2014/main" id="{A9946CEF-49A7-4987-814C-D925B4A0F6E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3" name="Shape 10">
          <a:extLst>
            <a:ext uri="{FF2B5EF4-FFF2-40B4-BE49-F238E27FC236}">
              <a16:creationId xmlns:a16="http://schemas.microsoft.com/office/drawing/2014/main" id="{5077683A-937C-4E60-B1A8-A4B22298583D}"/>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4" name="Shape 11">
          <a:extLst>
            <a:ext uri="{FF2B5EF4-FFF2-40B4-BE49-F238E27FC236}">
              <a16:creationId xmlns:a16="http://schemas.microsoft.com/office/drawing/2014/main" id="{94D475E5-2568-455A-9028-A4CF4288C5B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5" name="Shape 11">
          <a:extLst>
            <a:ext uri="{FF2B5EF4-FFF2-40B4-BE49-F238E27FC236}">
              <a16:creationId xmlns:a16="http://schemas.microsoft.com/office/drawing/2014/main" id="{41AAE0AA-D9F9-4082-BAE5-77720901604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6" name="Shape 11">
          <a:extLst>
            <a:ext uri="{FF2B5EF4-FFF2-40B4-BE49-F238E27FC236}">
              <a16:creationId xmlns:a16="http://schemas.microsoft.com/office/drawing/2014/main" id="{BABA81BE-2237-4174-A152-2DF659E6414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7" name="Shape 11">
          <a:extLst>
            <a:ext uri="{FF2B5EF4-FFF2-40B4-BE49-F238E27FC236}">
              <a16:creationId xmlns:a16="http://schemas.microsoft.com/office/drawing/2014/main" id="{9BECEA41-D81F-4860-9813-D8B71975E1D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8" name="Shape 11">
          <a:extLst>
            <a:ext uri="{FF2B5EF4-FFF2-40B4-BE49-F238E27FC236}">
              <a16:creationId xmlns:a16="http://schemas.microsoft.com/office/drawing/2014/main" id="{FEF1AF5E-DED0-40CE-AD92-3216C31BC6E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9" name="Shape 10">
          <a:extLst>
            <a:ext uri="{FF2B5EF4-FFF2-40B4-BE49-F238E27FC236}">
              <a16:creationId xmlns:a16="http://schemas.microsoft.com/office/drawing/2014/main" id="{0F6DAE2D-0FDF-4E07-AFE0-2EF65ABCA36A}"/>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0" name="Shape 11">
          <a:extLst>
            <a:ext uri="{FF2B5EF4-FFF2-40B4-BE49-F238E27FC236}">
              <a16:creationId xmlns:a16="http://schemas.microsoft.com/office/drawing/2014/main" id="{AF1D5675-BAB4-4845-9566-A05754D85310}"/>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1" name="Shape 11">
          <a:extLst>
            <a:ext uri="{FF2B5EF4-FFF2-40B4-BE49-F238E27FC236}">
              <a16:creationId xmlns:a16="http://schemas.microsoft.com/office/drawing/2014/main" id="{89B26BDB-F390-418A-8AB0-CC01CC7F121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2" name="Shape 11">
          <a:extLst>
            <a:ext uri="{FF2B5EF4-FFF2-40B4-BE49-F238E27FC236}">
              <a16:creationId xmlns:a16="http://schemas.microsoft.com/office/drawing/2014/main" id="{8968ED0C-D816-4CC3-8CE4-538003FC56D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3" name="Shape 11">
          <a:extLst>
            <a:ext uri="{FF2B5EF4-FFF2-40B4-BE49-F238E27FC236}">
              <a16:creationId xmlns:a16="http://schemas.microsoft.com/office/drawing/2014/main" id="{174A044F-9A2C-4491-9417-144F0F710CC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4" name="Shape 11">
          <a:extLst>
            <a:ext uri="{FF2B5EF4-FFF2-40B4-BE49-F238E27FC236}">
              <a16:creationId xmlns:a16="http://schemas.microsoft.com/office/drawing/2014/main" id="{5392404E-9D30-44C1-9A7B-239A0BBA4A5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85" name="Shape 10">
          <a:extLst>
            <a:ext uri="{FF2B5EF4-FFF2-40B4-BE49-F238E27FC236}">
              <a16:creationId xmlns:a16="http://schemas.microsoft.com/office/drawing/2014/main" id="{9CBD15CF-D620-4144-BCE5-EB1E6E6CDCBF}"/>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6" name="Shape 11">
          <a:extLst>
            <a:ext uri="{FF2B5EF4-FFF2-40B4-BE49-F238E27FC236}">
              <a16:creationId xmlns:a16="http://schemas.microsoft.com/office/drawing/2014/main" id="{9E98F2D2-0B76-4827-94AE-1C1F06FC3CE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7" name="Shape 11">
          <a:extLst>
            <a:ext uri="{FF2B5EF4-FFF2-40B4-BE49-F238E27FC236}">
              <a16:creationId xmlns:a16="http://schemas.microsoft.com/office/drawing/2014/main" id="{0C91B4CC-D39C-4FA1-9C4B-AF56175F7B9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8" name="Shape 11">
          <a:extLst>
            <a:ext uri="{FF2B5EF4-FFF2-40B4-BE49-F238E27FC236}">
              <a16:creationId xmlns:a16="http://schemas.microsoft.com/office/drawing/2014/main" id="{4B69E44C-2EDE-4E75-9162-671ACD1E3D7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9" name="Shape 11">
          <a:extLst>
            <a:ext uri="{FF2B5EF4-FFF2-40B4-BE49-F238E27FC236}">
              <a16:creationId xmlns:a16="http://schemas.microsoft.com/office/drawing/2014/main" id="{6E5108E6-1075-4C47-BCB9-DE5030C0071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0" name="Shape 11">
          <a:extLst>
            <a:ext uri="{FF2B5EF4-FFF2-40B4-BE49-F238E27FC236}">
              <a16:creationId xmlns:a16="http://schemas.microsoft.com/office/drawing/2014/main" id="{8824BDD1-900C-4494-97B6-B55150718EE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1" name="Shape 10">
          <a:extLst>
            <a:ext uri="{FF2B5EF4-FFF2-40B4-BE49-F238E27FC236}">
              <a16:creationId xmlns:a16="http://schemas.microsoft.com/office/drawing/2014/main" id="{ECD869D5-07ED-4F11-BB5B-B904A25B0AE7}"/>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2" name="Shape 11">
          <a:extLst>
            <a:ext uri="{FF2B5EF4-FFF2-40B4-BE49-F238E27FC236}">
              <a16:creationId xmlns:a16="http://schemas.microsoft.com/office/drawing/2014/main" id="{290758DB-9380-49E3-9CB4-5EDBE200D0A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3" name="Shape 11">
          <a:extLst>
            <a:ext uri="{FF2B5EF4-FFF2-40B4-BE49-F238E27FC236}">
              <a16:creationId xmlns:a16="http://schemas.microsoft.com/office/drawing/2014/main" id="{017C8427-179B-418A-9490-15E78EA4270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4" name="Shape 11">
          <a:extLst>
            <a:ext uri="{FF2B5EF4-FFF2-40B4-BE49-F238E27FC236}">
              <a16:creationId xmlns:a16="http://schemas.microsoft.com/office/drawing/2014/main" id="{88B31BAE-3E78-4833-9D54-5D8F903B453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5" name="Shape 11">
          <a:extLst>
            <a:ext uri="{FF2B5EF4-FFF2-40B4-BE49-F238E27FC236}">
              <a16:creationId xmlns:a16="http://schemas.microsoft.com/office/drawing/2014/main" id="{0F53BA85-54A2-46DB-8B95-857E1B9E1BC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6" name="Shape 11">
          <a:extLst>
            <a:ext uri="{FF2B5EF4-FFF2-40B4-BE49-F238E27FC236}">
              <a16:creationId xmlns:a16="http://schemas.microsoft.com/office/drawing/2014/main" id="{C2B64086-4823-4174-B436-1BC3D2BF4C2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7" name="Shape 10">
          <a:extLst>
            <a:ext uri="{FF2B5EF4-FFF2-40B4-BE49-F238E27FC236}">
              <a16:creationId xmlns:a16="http://schemas.microsoft.com/office/drawing/2014/main" id="{A82CFC1A-4CE4-49D0-BC63-16B4C51AD86B}"/>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8" name="Shape 11">
          <a:extLst>
            <a:ext uri="{FF2B5EF4-FFF2-40B4-BE49-F238E27FC236}">
              <a16:creationId xmlns:a16="http://schemas.microsoft.com/office/drawing/2014/main" id="{5E841928-DB0C-4379-9063-420FABA03B3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9" name="Shape 13">
          <a:extLst>
            <a:ext uri="{FF2B5EF4-FFF2-40B4-BE49-F238E27FC236}">
              <a16:creationId xmlns:a16="http://schemas.microsoft.com/office/drawing/2014/main" id="{5090ABBC-3E5C-49A6-A508-3E9C41E0646D}"/>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0" name="Shape 14">
          <a:extLst>
            <a:ext uri="{FF2B5EF4-FFF2-40B4-BE49-F238E27FC236}">
              <a16:creationId xmlns:a16="http://schemas.microsoft.com/office/drawing/2014/main" id="{C6F7EF84-8568-46F3-8E29-4D9D98C52867}"/>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1" name="Shape 10">
          <a:extLst>
            <a:ext uri="{FF2B5EF4-FFF2-40B4-BE49-F238E27FC236}">
              <a16:creationId xmlns:a16="http://schemas.microsoft.com/office/drawing/2014/main" id="{531FA8A0-7848-4B19-BB82-438A9B8E7AD1}"/>
            </a:ext>
          </a:extLst>
        </xdr:cNvPr>
        <xdr:cNvSpPr txBox="1"/>
      </xdr:nvSpPr>
      <xdr:spPr>
        <a:xfrm>
          <a:off x="4124325" y="270414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2" name="Shape 14">
          <a:extLst>
            <a:ext uri="{FF2B5EF4-FFF2-40B4-BE49-F238E27FC236}">
              <a16:creationId xmlns:a16="http://schemas.microsoft.com/office/drawing/2014/main" id="{B9CB2817-B513-4DB3-B0A5-0870875A83DB}"/>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3" name="Shape 11">
          <a:extLst>
            <a:ext uri="{FF2B5EF4-FFF2-40B4-BE49-F238E27FC236}">
              <a16:creationId xmlns:a16="http://schemas.microsoft.com/office/drawing/2014/main" id="{479636ED-2583-48E7-ABE1-CB23468FCE6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4" name="Shape 10">
          <a:extLst>
            <a:ext uri="{FF2B5EF4-FFF2-40B4-BE49-F238E27FC236}">
              <a16:creationId xmlns:a16="http://schemas.microsoft.com/office/drawing/2014/main" id="{296575AF-F12B-4C11-B41C-38DA9DA413D2}"/>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5" name="Shape 11">
          <a:extLst>
            <a:ext uri="{FF2B5EF4-FFF2-40B4-BE49-F238E27FC236}">
              <a16:creationId xmlns:a16="http://schemas.microsoft.com/office/drawing/2014/main" id="{C4623D51-0A01-477A-8350-D77DC52A0EF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6" name="Shape 11">
          <a:extLst>
            <a:ext uri="{FF2B5EF4-FFF2-40B4-BE49-F238E27FC236}">
              <a16:creationId xmlns:a16="http://schemas.microsoft.com/office/drawing/2014/main" id="{27CC0F72-A2B6-4B77-87E1-127A4AF1B63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7" name="Shape 11">
          <a:extLst>
            <a:ext uri="{FF2B5EF4-FFF2-40B4-BE49-F238E27FC236}">
              <a16:creationId xmlns:a16="http://schemas.microsoft.com/office/drawing/2014/main" id="{23B44BF6-6130-419E-AE90-7A454226D9E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8" name="Shape 11">
          <a:extLst>
            <a:ext uri="{FF2B5EF4-FFF2-40B4-BE49-F238E27FC236}">
              <a16:creationId xmlns:a16="http://schemas.microsoft.com/office/drawing/2014/main" id="{F88E5967-C4E3-4A0B-A5B2-BFB040F23D8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9" name="Shape 11">
          <a:extLst>
            <a:ext uri="{FF2B5EF4-FFF2-40B4-BE49-F238E27FC236}">
              <a16:creationId xmlns:a16="http://schemas.microsoft.com/office/drawing/2014/main" id="{80235687-BAAF-4F6F-B2B3-97BDE032CE4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0" name="Shape 10">
          <a:extLst>
            <a:ext uri="{FF2B5EF4-FFF2-40B4-BE49-F238E27FC236}">
              <a16:creationId xmlns:a16="http://schemas.microsoft.com/office/drawing/2014/main" id="{FDF1881D-940B-4DC0-91D6-0BB48DCC883B}"/>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1" name="Shape 11">
          <a:extLst>
            <a:ext uri="{FF2B5EF4-FFF2-40B4-BE49-F238E27FC236}">
              <a16:creationId xmlns:a16="http://schemas.microsoft.com/office/drawing/2014/main" id="{23F0CC2C-7184-4637-BFD9-90F4AE18B16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2" name="Shape 11">
          <a:extLst>
            <a:ext uri="{FF2B5EF4-FFF2-40B4-BE49-F238E27FC236}">
              <a16:creationId xmlns:a16="http://schemas.microsoft.com/office/drawing/2014/main" id="{E68029C1-C734-4F48-A091-A861C424965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3" name="Shape 11">
          <a:extLst>
            <a:ext uri="{FF2B5EF4-FFF2-40B4-BE49-F238E27FC236}">
              <a16:creationId xmlns:a16="http://schemas.microsoft.com/office/drawing/2014/main" id="{224893DC-4207-46A5-BA23-DB9CD7D4FDAC}"/>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4" name="Shape 11">
          <a:extLst>
            <a:ext uri="{FF2B5EF4-FFF2-40B4-BE49-F238E27FC236}">
              <a16:creationId xmlns:a16="http://schemas.microsoft.com/office/drawing/2014/main" id="{1DACBD7F-522E-430E-9DEE-3EF33672E4A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5" name="Shape 11">
          <a:extLst>
            <a:ext uri="{FF2B5EF4-FFF2-40B4-BE49-F238E27FC236}">
              <a16:creationId xmlns:a16="http://schemas.microsoft.com/office/drawing/2014/main" id="{CC8010AC-1F22-465B-AEA2-766F6734CF2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6" name="Shape 10">
          <a:extLst>
            <a:ext uri="{FF2B5EF4-FFF2-40B4-BE49-F238E27FC236}">
              <a16:creationId xmlns:a16="http://schemas.microsoft.com/office/drawing/2014/main" id="{DA2D2B56-AD44-43FF-BBD9-073D23C1C409}"/>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7" name="Shape 11">
          <a:extLst>
            <a:ext uri="{FF2B5EF4-FFF2-40B4-BE49-F238E27FC236}">
              <a16:creationId xmlns:a16="http://schemas.microsoft.com/office/drawing/2014/main" id="{AF848CDA-5FF0-4081-BE55-39984A76675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8" name="Shape 11">
          <a:extLst>
            <a:ext uri="{FF2B5EF4-FFF2-40B4-BE49-F238E27FC236}">
              <a16:creationId xmlns:a16="http://schemas.microsoft.com/office/drawing/2014/main" id="{999212F8-BC7F-404D-B2E0-5C0EEDAE328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9" name="Shape 11">
          <a:extLst>
            <a:ext uri="{FF2B5EF4-FFF2-40B4-BE49-F238E27FC236}">
              <a16:creationId xmlns:a16="http://schemas.microsoft.com/office/drawing/2014/main" id="{3A4E6421-72F3-49B1-AC32-9DE778D87D3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0" name="Shape 11">
          <a:extLst>
            <a:ext uri="{FF2B5EF4-FFF2-40B4-BE49-F238E27FC236}">
              <a16:creationId xmlns:a16="http://schemas.microsoft.com/office/drawing/2014/main" id="{C93B942C-AB70-4B91-9F71-BD3C0A865BA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1" name="Shape 11">
          <a:extLst>
            <a:ext uri="{FF2B5EF4-FFF2-40B4-BE49-F238E27FC236}">
              <a16:creationId xmlns:a16="http://schemas.microsoft.com/office/drawing/2014/main" id="{BEC067AF-60ED-4427-9183-39BA504F774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2" name="Shape 10">
          <a:extLst>
            <a:ext uri="{FF2B5EF4-FFF2-40B4-BE49-F238E27FC236}">
              <a16:creationId xmlns:a16="http://schemas.microsoft.com/office/drawing/2014/main" id="{0ABE1E75-E56A-4F64-85B7-AADC8C06DCF5}"/>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3" name="Shape 11">
          <a:extLst>
            <a:ext uri="{FF2B5EF4-FFF2-40B4-BE49-F238E27FC236}">
              <a16:creationId xmlns:a16="http://schemas.microsoft.com/office/drawing/2014/main" id="{A67AAB7F-53AF-4292-833F-263552D9BE0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4" name="Shape 11">
          <a:extLst>
            <a:ext uri="{FF2B5EF4-FFF2-40B4-BE49-F238E27FC236}">
              <a16:creationId xmlns:a16="http://schemas.microsoft.com/office/drawing/2014/main" id="{43CFDA8E-8E8F-4DE6-BFBB-BD3B04EF874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5" name="Shape 11">
          <a:extLst>
            <a:ext uri="{FF2B5EF4-FFF2-40B4-BE49-F238E27FC236}">
              <a16:creationId xmlns:a16="http://schemas.microsoft.com/office/drawing/2014/main" id="{CF3EE0F4-E6C1-4787-9821-3A50E95D748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6" name="Shape 11">
          <a:extLst>
            <a:ext uri="{FF2B5EF4-FFF2-40B4-BE49-F238E27FC236}">
              <a16:creationId xmlns:a16="http://schemas.microsoft.com/office/drawing/2014/main" id="{AA6163F1-E48C-41C6-9630-F341C645051C}"/>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7" name="Shape 11">
          <a:extLst>
            <a:ext uri="{FF2B5EF4-FFF2-40B4-BE49-F238E27FC236}">
              <a16:creationId xmlns:a16="http://schemas.microsoft.com/office/drawing/2014/main" id="{C5125B22-D19C-4D62-9FF2-B485AB13FD7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8" name="Shape 10">
          <a:extLst>
            <a:ext uri="{FF2B5EF4-FFF2-40B4-BE49-F238E27FC236}">
              <a16:creationId xmlns:a16="http://schemas.microsoft.com/office/drawing/2014/main" id="{AD1DB676-4099-4454-BBB6-E6F48A89E092}"/>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9" name="Shape 11">
          <a:extLst>
            <a:ext uri="{FF2B5EF4-FFF2-40B4-BE49-F238E27FC236}">
              <a16:creationId xmlns:a16="http://schemas.microsoft.com/office/drawing/2014/main" id="{DBE7EAF5-E8A2-425A-83A6-6DBD4CD23A0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0" name="Shape 11">
          <a:extLst>
            <a:ext uri="{FF2B5EF4-FFF2-40B4-BE49-F238E27FC236}">
              <a16:creationId xmlns:a16="http://schemas.microsoft.com/office/drawing/2014/main" id="{BF7A41A8-0C9B-41AF-BE5F-44A546E4A68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1" name="Shape 11">
          <a:extLst>
            <a:ext uri="{FF2B5EF4-FFF2-40B4-BE49-F238E27FC236}">
              <a16:creationId xmlns:a16="http://schemas.microsoft.com/office/drawing/2014/main" id="{A63F95FD-0A86-4FD8-BB82-CE7C3F97D74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2" name="Shape 11">
          <a:extLst>
            <a:ext uri="{FF2B5EF4-FFF2-40B4-BE49-F238E27FC236}">
              <a16:creationId xmlns:a16="http://schemas.microsoft.com/office/drawing/2014/main" id="{F2642285-88B8-4923-9CA5-4B5A56644DA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3" name="Shape 11">
          <a:extLst>
            <a:ext uri="{FF2B5EF4-FFF2-40B4-BE49-F238E27FC236}">
              <a16:creationId xmlns:a16="http://schemas.microsoft.com/office/drawing/2014/main" id="{C71A4E75-8D65-453D-8C3B-07513B5D21A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34" name="Shape 10">
          <a:extLst>
            <a:ext uri="{FF2B5EF4-FFF2-40B4-BE49-F238E27FC236}">
              <a16:creationId xmlns:a16="http://schemas.microsoft.com/office/drawing/2014/main" id="{2645739D-8FA8-4766-BCEC-5939DE7EBCE3}"/>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5" name="Shape 11">
          <a:extLst>
            <a:ext uri="{FF2B5EF4-FFF2-40B4-BE49-F238E27FC236}">
              <a16:creationId xmlns:a16="http://schemas.microsoft.com/office/drawing/2014/main" id="{943AC949-F54A-4C41-91AD-1096C96C2BD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6" name="Shape 11">
          <a:extLst>
            <a:ext uri="{FF2B5EF4-FFF2-40B4-BE49-F238E27FC236}">
              <a16:creationId xmlns:a16="http://schemas.microsoft.com/office/drawing/2014/main" id="{B26AF773-0914-456E-9419-98873C3E5FA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7" name="Shape 11">
          <a:extLst>
            <a:ext uri="{FF2B5EF4-FFF2-40B4-BE49-F238E27FC236}">
              <a16:creationId xmlns:a16="http://schemas.microsoft.com/office/drawing/2014/main" id="{62179E9B-35FD-4B73-B8C8-9F9016E562A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8" name="Shape 11">
          <a:extLst>
            <a:ext uri="{FF2B5EF4-FFF2-40B4-BE49-F238E27FC236}">
              <a16:creationId xmlns:a16="http://schemas.microsoft.com/office/drawing/2014/main" id="{E734FF73-DD6A-45EF-9560-0210C0819F8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9" name="Shape 11">
          <a:extLst>
            <a:ext uri="{FF2B5EF4-FFF2-40B4-BE49-F238E27FC236}">
              <a16:creationId xmlns:a16="http://schemas.microsoft.com/office/drawing/2014/main" id="{663139FF-DFFD-4A7C-87BE-CC2F1F21E6B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0" name="Shape 10">
          <a:extLst>
            <a:ext uri="{FF2B5EF4-FFF2-40B4-BE49-F238E27FC236}">
              <a16:creationId xmlns:a16="http://schemas.microsoft.com/office/drawing/2014/main" id="{A77BACA0-01DB-433D-A31D-27C80137D992}"/>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1" name="Shape 11">
          <a:extLst>
            <a:ext uri="{FF2B5EF4-FFF2-40B4-BE49-F238E27FC236}">
              <a16:creationId xmlns:a16="http://schemas.microsoft.com/office/drawing/2014/main" id="{0F63EFEC-D5E8-4698-ABE6-32459B57356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2" name="Shape 13">
          <a:extLst>
            <a:ext uri="{FF2B5EF4-FFF2-40B4-BE49-F238E27FC236}">
              <a16:creationId xmlns:a16="http://schemas.microsoft.com/office/drawing/2014/main" id="{EA38F5C9-CAAB-4744-83F2-DBDEE7D9F4CD}"/>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3" name="Shape 14">
          <a:extLst>
            <a:ext uri="{FF2B5EF4-FFF2-40B4-BE49-F238E27FC236}">
              <a16:creationId xmlns:a16="http://schemas.microsoft.com/office/drawing/2014/main" id="{DB1FA96A-58EE-4F6A-948C-D38A8EA190B4}"/>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4" name="Shape 10">
          <a:extLst>
            <a:ext uri="{FF2B5EF4-FFF2-40B4-BE49-F238E27FC236}">
              <a16:creationId xmlns:a16="http://schemas.microsoft.com/office/drawing/2014/main" id="{6B49D2F3-9249-48F4-812A-2B68AB9F3254}"/>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5" name="Shape 12">
          <a:extLst>
            <a:ext uri="{FF2B5EF4-FFF2-40B4-BE49-F238E27FC236}">
              <a16:creationId xmlns:a16="http://schemas.microsoft.com/office/drawing/2014/main" id="{3D9E47FE-E203-45D0-937C-B751357D880F}"/>
            </a:ext>
          </a:extLst>
        </xdr:cNvPr>
        <xdr:cNvSpPr txBox="1"/>
      </xdr:nvSpPr>
      <xdr:spPr>
        <a:xfrm>
          <a:off x="0" y="268795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6" name="Shape 11">
          <a:extLst>
            <a:ext uri="{FF2B5EF4-FFF2-40B4-BE49-F238E27FC236}">
              <a16:creationId xmlns:a16="http://schemas.microsoft.com/office/drawing/2014/main" id="{DF212E7F-F533-4893-A81F-953AF9AA767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7" name="Shape 10">
          <a:extLst>
            <a:ext uri="{FF2B5EF4-FFF2-40B4-BE49-F238E27FC236}">
              <a16:creationId xmlns:a16="http://schemas.microsoft.com/office/drawing/2014/main" id="{59CECA83-2D31-486D-9B1B-56BA63A147E0}"/>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8" name="Shape 11">
          <a:extLst>
            <a:ext uri="{FF2B5EF4-FFF2-40B4-BE49-F238E27FC236}">
              <a16:creationId xmlns:a16="http://schemas.microsoft.com/office/drawing/2014/main" id="{88A37BFA-11CC-4CFF-8020-DB834AF743C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9" name="Shape 11">
          <a:extLst>
            <a:ext uri="{FF2B5EF4-FFF2-40B4-BE49-F238E27FC236}">
              <a16:creationId xmlns:a16="http://schemas.microsoft.com/office/drawing/2014/main" id="{563852BD-57A1-4232-A97B-0B8365BB542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0" name="Shape 11">
          <a:extLst>
            <a:ext uri="{FF2B5EF4-FFF2-40B4-BE49-F238E27FC236}">
              <a16:creationId xmlns:a16="http://schemas.microsoft.com/office/drawing/2014/main" id="{AEE18AA4-6AA4-4588-87E9-2FE5AA0B478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1" name="Shape 11">
          <a:extLst>
            <a:ext uri="{FF2B5EF4-FFF2-40B4-BE49-F238E27FC236}">
              <a16:creationId xmlns:a16="http://schemas.microsoft.com/office/drawing/2014/main" id="{D1DF9A26-9D2E-4388-9C5A-EA5F3C90CBA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2" name="Shape 11">
          <a:extLst>
            <a:ext uri="{FF2B5EF4-FFF2-40B4-BE49-F238E27FC236}">
              <a16:creationId xmlns:a16="http://schemas.microsoft.com/office/drawing/2014/main" id="{739407F9-9E22-457F-B52D-2B21855038A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3" name="Shape 10">
          <a:extLst>
            <a:ext uri="{FF2B5EF4-FFF2-40B4-BE49-F238E27FC236}">
              <a16:creationId xmlns:a16="http://schemas.microsoft.com/office/drawing/2014/main" id="{C76A76BC-7F11-42B2-88F7-D39627866B08}"/>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4" name="Shape 11">
          <a:extLst>
            <a:ext uri="{FF2B5EF4-FFF2-40B4-BE49-F238E27FC236}">
              <a16:creationId xmlns:a16="http://schemas.microsoft.com/office/drawing/2014/main" id="{0D5E4122-A3B0-4FF7-BA77-25017352783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5" name="Shape 11">
          <a:extLst>
            <a:ext uri="{FF2B5EF4-FFF2-40B4-BE49-F238E27FC236}">
              <a16:creationId xmlns:a16="http://schemas.microsoft.com/office/drawing/2014/main" id="{D001FB58-8729-4E30-87BC-1A1AC98A251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6" name="Shape 11">
          <a:extLst>
            <a:ext uri="{FF2B5EF4-FFF2-40B4-BE49-F238E27FC236}">
              <a16:creationId xmlns:a16="http://schemas.microsoft.com/office/drawing/2014/main" id="{72C7536D-AE22-4E09-936E-52AF8896038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7" name="Shape 11">
          <a:extLst>
            <a:ext uri="{FF2B5EF4-FFF2-40B4-BE49-F238E27FC236}">
              <a16:creationId xmlns:a16="http://schemas.microsoft.com/office/drawing/2014/main" id="{DB733FFB-2ADB-4A49-9600-7B4B1026BE9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8" name="Shape 11">
          <a:extLst>
            <a:ext uri="{FF2B5EF4-FFF2-40B4-BE49-F238E27FC236}">
              <a16:creationId xmlns:a16="http://schemas.microsoft.com/office/drawing/2014/main" id="{9F292DE4-1203-4B56-A0A8-CB2E199ED55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9" name="Shape 10">
          <a:extLst>
            <a:ext uri="{FF2B5EF4-FFF2-40B4-BE49-F238E27FC236}">
              <a16:creationId xmlns:a16="http://schemas.microsoft.com/office/drawing/2014/main" id="{2EC11540-39F2-4144-8B11-EB94E0AB420B}"/>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0" name="Shape 11">
          <a:extLst>
            <a:ext uri="{FF2B5EF4-FFF2-40B4-BE49-F238E27FC236}">
              <a16:creationId xmlns:a16="http://schemas.microsoft.com/office/drawing/2014/main" id="{C3CCEE2C-044E-4B71-8F89-89B655CC76F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1" name="Shape 11">
          <a:extLst>
            <a:ext uri="{FF2B5EF4-FFF2-40B4-BE49-F238E27FC236}">
              <a16:creationId xmlns:a16="http://schemas.microsoft.com/office/drawing/2014/main" id="{8CBEB28B-F531-4C30-BF0E-56D52C36E37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2" name="Shape 11">
          <a:extLst>
            <a:ext uri="{FF2B5EF4-FFF2-40B4-BE49-F238E27FC236}">
              <a16:creationId xmlns:a16="http://schemas.microsoft.com/office/drawing/2014/main" id="{33A23352-D125-4E7F-B41B-21399923A2A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3" name="Shape 11">
          <a:extLst>
            <a:ext uri="{FF2B5EF4-FFF2-40B4-BE49-F238E27FC236}">
              <a16:creationId xmlns:a16="http://schemas.microsoft.com/office/drawing/2014/main" id="{2BD6A41F-3059-4464-B6E5-8692420FF3A6}"/>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4" name="Shape 11">
          <a:extLst>
            <a:ext uri="{FF2B5EF4-FFF2-40B4-BE49-F238E27FC236}">
              <a16:creationId xmlns:a16="http://schemas.microsoft.com/office/drawing/2014/main" id="{F512BC69-B352-490E-BA81-8EA89EC7A76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65" name="Shape 10">
          <a:extLst>
            <a:ext uri="{FF2B5EF4-FFF2-40B4-BE49-F238E27FC236}">
              <a16:creationId xmlns:a16="http://schemas.microsoft.com/office/drawing/2014/main" id="{CBA6FC0A-C132-4B02-B572-CB30EA899F50}"/>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6" name="Shape 11">
          <a:extLst>
            <a:ext uri="{FF2B5EF4-FFF2-40B4-BE49-F238E27FC236}">
              <a16:creationId xmlns:a16="http://schemas.microsoft.com/office/drawing/2014/main" id="{978258B7-3316-455C-BE68-C2B04E7D8F2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7" name="Shape 11">
          <a:extLst>
            <a:ext uri="{FF2B5EF4-FFF2-40B4-BE49-F238E27FC236}">
              <a16:creationId xmlns:a16="http://schemas.microsoft.com/office/drawing/2014/main" id="{D602941E-27AC-442E-A710-9B4FA8BB0AC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8" name="Shape 11">
          <a:extLst>
            <a:ext uri="{FF2B5EF4-FFF2-40B4-BE49-F238E27FC236}">
              <a16:creationId xmlns:a16="http://schemas.microsoft.com/office/drawing/2014/main" id="{C2F7AE2A-E883-4FC0-AAF4-9503E7B186E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9" name="Shape 11">
          <a:extLst>
            <a:ext uri="{FF2B5EF4-FFF2-40B4-BE49-F238E27FC236}">
              <a16:creationId xmlns:a16="http://schemas.microsoft.com/office/drawing/2014/main" id="{2667E757-0653-4DFA-BDE2-E0B589201A9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0" name="Shape 11">
          <a:extLst>
            <a:ext uri="{FF2B5EF4-FFF2-40B4-BE49-F238E27FC236}">
              <a16:creationId xmlns:a16="http://schemas.microsoft.com/office/drawing/2014/main" id="{B3F53B3D-207C-4BA0-AB40-EB8D50CE0F6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1" name="Shape 10">
          <a:extLst>
            <a:ext uri="{FF2B5EF4-FFF2-40B4-BE49-F238E27FC236}">
              <a16:creationId xmlns:a16="http://schemas.microsoft.com/office/drawing/2014/main" id="{75C9E793-3850-4A52-8299-C21933E2C2DA}"/>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2" name="Shape 11">
          <a:extLst>
            <a:ext uri="{FF2B5EF4-FFF2-40B4-BE49-F238E27FC236}">
              <a16:creationId xmlns:a16="http://schemas.microsoft.com/office/drawing/2014/main" id="{3FA465A5-D1C8-48DB-A34B-05F5C2BC7D8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3" name="Shape 11">
          <a:extLst>
            <a:ext uri="{FF2B5EF4-FFF2-40B4-BE49-F238E27FC236}">
              <a16:creationId xmlns:a16="http://schemas.microsoft.com/office/drawing/2014/main" id="{20CF14A3-E05F-4E49-811B-B3EF22799C9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4" name="Shape 11">
          <a:extLst>
            <a:ext uri="{FF2B5EF4-FFF2-40B4-BE49-F238E27FC236}">
              <a16:creationId xmlns:a16="http://schemas.microsoft.com/office/drawing/2014/main" id="{E29DDF37-798E-4DCB-A91C-2D4C8CCF53F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5" name="Shape 11">
          <a:extLst>
            <a:ext uri="{FF2B5EF4-FFF2-40B4-BE49-F238E27FC236}">
              <a16:creationId xmlns:a16="http://schemas.microsoft.com/office/drawing/2014/main" id="{E49E36C1-BDB9-4000-A7F4-AB3F7796DBF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6" name="Shape 11">
          <a:extLst>
            <a:ext uri="{FF2B5EF4-FFF2-40B4-BE49-F238E27FC236}">
              <a16:creationId xmlns:a16="http://schemas.microsoft.com/office/drawing/2014/main" id="{5EE92ABD-E58D-432E-A9D4-3ED57DA06D2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7" name="Shape 10">
          <a:extLst>
            <a:ext uri="{FF2B5EF4-FFF2-40B4-BE49-F238E27FC236}">
              <a16:creationId xmlns:a16="http://schemas.microsoft.com/office/drawing/2014/main" id="{F91E2401-8CBA-4FE3-AC00-2D7FE3A57971}"/>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8" name="Shape 11">
          <a:extLst>
            <a:ext uri="{FF2B5EF4-FFF2-40B4-BE49-F238E27FC236}">
              <a16:creationId xmlns:a16="http://schemas.microsoft.com/office/drawing/2014/main" id="{859FBE27-2540-402C-86C8-E1D0310B207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9" name="Shape 11">
          <a:extLst>
            <a:ext uri="{FF2B5EF4-FFF2-40B4-BE49-F238E27FC236}">
              <a16:creationId xmlns:a16="http://schemas.microsoft.com/office/drawing/2014/main" id="{F95C49B1-60C2-438D-B52F-F2F931D1194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0" name="Shape 11">
          <a:extLst>
            <a:ext uri="{FF2B5EF4-FFF2-40B4-BE49-F238E27FC236}">
              <a16:creationId xmlns:a16="http://schemas.microsoft.com/office/drawing/2014/main" id="{D64092E8-E7EE-4646-A3F0-7FCCFB8B118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1" name="Shape 11">
          <a:extLst>
            <a:ext uri="{FF2B5EF4-FFF2-40B4-BE49-F238E27FC236}">
              <a16:creationId xmlns:a16="http://schemas.microsoft.com/office/drawing/2014/main" id="{4A2CD6F1-86E8-49EA-9BD1-9CBE647D467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2" name="Shape 11">
          <a:extLst>
            <a:ext uri="{FF2B5EF4-FFF2-40B4-BE49-F238E27FC236}">
              <a16:creationId xmlns:a16="http://schemas.microsoft.com/office/drawing/2014/main" id="{A58452D7-ADA2-4692-B63A-F2671BC6B7E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3" name="Shape 10">
          <a:extLst>
            <a:ext uri="{FF2B5EF4-FFF2-40B4-BE49-F238E27FC236}">
              <a16:creationId xmlns:a16="http://schemas.microsoft.com/office/drawing/2014/main" id="{7255C06A-713E-44FB-921B-F07C88811B08}"/>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4" name="Shape 11">
          <a:extLst>
            <a:ext uri="{FF2B5EF4-FFF2-40B4-BE49-F238E27FC236}">
              <a16:creationId xmlns:a16="http://schemas.microsoft.com/office/drawing/2014/main" id="{00723AD4-27CB-45EF-BB42-26BBB2849D6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5" name="Shape 13">
          <a:extLst>
            <a:ext uri="{FF2B5EF4-FFF2-40B4-BE49-F238E27FC236}">
              <a16:creationId xmlns:a16="http://schemas.microsoft.com/office/drawing/2014/main" id="{DEE41171-FBC4-4BDB-AA21-2B59B72D8039}"/>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6" name="Shape 14">
          <a:extLst>
            <a:ext uri="{FF2B5EF4-FFF2-40B4-BE49-F238E27FC236}">
              <a16:creationId xmlns:a16="http://schemas.microsoft.com/office/drawing/2014/main" id="{60D4BD30-98FF-41A7-8FC6-393FA42B3435}"/>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7" name="Shape 10">
          <a:extLst>
            <a:ext uri="{FF2B5EF4-FFF2-40B4-BE49-F238E27FC236}">
              <a16:creationId xmlns:a16="http://schemas.microsoft.com/office/drawing/2014/main" id="{6013D65E-D1D1-42B9-98E0-AAD96D040772}"/>
            </a:ext>
          </a:extLst>
        </xdr:cNvPr>
        <xdr:cNvSpPr txBox="1"/>
      </xdr:nvSpPr>
      <xdr:spPr>
        <a:xfrm>
          <a:off x="4124325" y="359473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8" name="Shape 14">
          <a:extLst>
            <a:ext uri="{FF2B5EF4-FFF2-40B4-BE49-F238E27FC236}">
              <a16:creationId xmlns:a16="http://schemas.microsoft.com/office/drawing/2014/main" id="{0BEE6CA5-9DAC-4239-92F8-566648BB3015}"/>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9" name="Shape 11">
          <a:extLst>
            <a:ext uri="{FF2B5EF4-FFF2-40B4-BE49-F238E27FC236}">
              <a16:creationId xmlns:a16="http://schemas.microsoft.com/office/drawing/2014/main" id="{BB5F38FF-1CF1-4DA3-91F3-16CCE7ABBFE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0" name="Shape 10">
          <a:extLst>
            <a:ext uri="{FF2B5EF4-FFF2-40B4-BE49-F238E27FC236}">
              <a16:creationId xmlns:a16="http://schemas.microsoft.com/office/drawing/2014/main" id="{B8CB897F-F395-41F5-A297-0E92EB6172E3}"/>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1" name="Shape 11">
          <a:extLst>
            <a:ext uri="{FF2B5EF4-FFF2-40B4-BE49-F238E27FC236}">
              <a16:creationId xmlns:a16="http://schemas.microsoft.com/office/drawing/2014/main" id="{D3BB85FC-CCF8-4A51-B378-9794FBD859C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2" name="Shape 11">
          <a:extLst>
            <a:ext uri="{FF2B5EF4-FFF2-40B4-BE49-F238E27FC236}">
              <a16:creationId xmlns:a16="http://schemas.microsoft.com/office/drawing/2014/main" id="{76854ACB-20DC-493B-842A-A6FDFB411B9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3" name="Shape 11">
          <a:extLst>
            <a:ext uri="{FF2B5EF4-FFF2-40B4-BE49-F238E27FC236}">
              <a16:creationId xmlns:a16="http://schemas.microsoft.com/office/drawing/2014/main" id="{E6D8D51B-D9B1-47F1-8FED-AD81A0FC2F8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4" name="Shape 11">
          <a:extLst>
            <a:ext uri="{FF2B5EF4-FFF2-40B4-BE49-F238E27FC236}">
              <a16:creationId xmlns:a16="http://schemas.microsoft.com/office/drawing/2014/main" id="{5330F698-507F-47AA-B568-D1A5582D64D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5" name="Shape 11">
          <a:extLst>
            <a:ext uri="{FF2B5EF4-FFF2-40B4-BE49-F238E27FC236}">
              <a16:creationId xmlns:a16="http://schemas.microsoft.com/office/drawing/2014/main" id="{CCBDCE39-C407-492E-ABBC-8B289EA5BDF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6" name="Shape 10">
          <a:extLst>
            <a:ext uri="{FF2B5EF4-FFF2-40B4-BE49-F238E27FC236}">
              <a16:creationId xmlns:a16="http://schemas.microsoft.com/office/drawing/2014/main" id="{4DF86C22-1AD6-4259-B397-F9517C90B775}"/>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7" name="Shape 11">
          <a:extLst>
            <a:ext uri="{FF2B5EF4-FFF2-40B4-BE49-F238E27FC236}">
              <a16:creationId xmlns:a16="http://schemas.microsoft.com/office/drawing/2014/main" id="{96E55953-58C9-44BB-9122-045D6757B9D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8" name="Shape 11">
          <a:extLst>
            <a:ext uri="{FF2B5EF4-FFF2-40B4-BE49-F238E27FC236}">
              <a16:creationId xmlns:a16="http://schemas.microsoft.com/office/drawing/2014/main" id="{C527395A-2DDD-4F13-8414-5CAA608B07D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9" name="Shape 11">
          <a:extLst>
            <a:ext uri="{FF2B5EF4-FFF2-40B4-BE49-F238E27FC236}">
              <a16:creationId xmlns:a16="http://schemas.microsoft.com/office/drawing/2014/main" id="{E692A634-A2F9-466F-9413-57621C59667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0" name="Shape 11">
          <a:extLst>
            <a:ext uri="{FF2B5EF4-FFF2-40B4-BE49-F238E27FC236}">
              <a16:creationId xmlns:a16="http://schemas.microsoft.com/office/drawing/2014/main" id="{F2F6268A-3C8A-4750-9F28-D35A2A85833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1" name="Shape 11">
          <a:extLst>
            <a:ext uri="{FF2B5EF4-FFF2-40B4-BE49-F238E27FC236}">
              <a16:creationId xmlns:a16="http://schemas.microsoft.com/office/drawing/2014/main" id="{1E6F57FD-19D3-4C24-B611-83A00677EC0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2" name="Shape 10">
          <a:extLst>
            <a:ext uri="{FF2B5EF4-FFF2-40B4-BE49-F238E27FC236}">
              <a16:creationId xmlns:a16="http://schemas.microsoft.com/office/drawing/2014/main" id="{D207724F-80B0-41B9-9320-D349FB92F85C}"/>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3" name="Shape 11">
          <a:extLst>
            <a:ext uri="{FF2B5EF4-FFF2-40B4-BE49-F238E27FC236}">
              <a16:creationId xmlns:a16="http://schemas.microsoft.com/office/drawing/2014/main" id="{C6A4571D-7C5D-48C3-878F-50ADB843728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4" name="Shape 11">
          <a:extLst>
            <a:ext uri="{FF2B5EF4-FFF2-40B4-BE49-F238E27FC236}">
              <a16:creationId xmlns:a16="http://schemas.microsoft.com/office/drawing/2014/main" id="{E84F3AA1-242D-4A6E-A7BC-B25EC7181FC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5" name="Shape 11">
          <a:extLst>
            <a:ext uri="{FF2B5EF4-FFF2-40B4-BE49-F238E27FC236}">
              <a16:creationId xmlns:a16="http://schemas.microsoft.com/office/drawing/2014/main" id="{4261C742-7FB2-4E97-B86C-34C17E41765B}"/>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6" name="Shape 11">
          <a:extLst>
            <a:ext uri="{FF2B5EF4-FFF2-40B4-BE49-F238E27FC236}">
              <a16:creationId xmlns:a16="http://schemas.microsoft.com/office/drawing/2014/main" id="{AB428E5E-C7A6-4E33-B9C3-F55652ED3CC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7" name="Shape 11">
          <a:extLst>
            <a:ext uri="{FF2B5EF4-FFF2-40B4-BE49-F238E27FC236}">
              <a16:creationId xmlns:a16="http://schemas.microsoft.com/office/drawing/2014/main" id="{E66262A5-A0F6-42EE-9090-0A256FAE6DF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8" name="Shape 10">
          <a:extLst>
            <a:ext uri="{FF2B5EF4-FFF2-40B4-BE49-F238E27FC236}">
              <a16:creationId xmlns:a16="http://schemas.microsoft.com/office/drawing/2014/main" id="{C0750102-5194-454F-A277-D5F3C89D6064}"/>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9" name="Shape 11">
          <a:extLst>
            <a:ext uri="{FF2B5EF4-FFF2-40B4-BE49-F238E27FC236}">
              <a16:creationId xmlns:a16="http://schemas.microsoft.com/office/drawing/2014/main" id="{C1CD0AB3-9479-4C1D-8B0B-9C0E1EFCD7F8}"/>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0" name="Shape 11">
          <a:extLst>
            <a:ext uri="{FF2B5EF4-FFF2-40B4-BE49-F238E27FC236}">
              <a16:creationId xmlns:a16="http://schemas.microsoft.com/office/drawing/2014/main" id="{BF127090-6C4F-4133-9738-A4313D72EAE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1" name="Shape 11">
          <a:extLst>
            <a:ext uri="{FF2B5EF4-FFF2-40B4-BE49-F238E27FC236}">
              <a16:creationId xmlns:a16="http://schemas.microsoft.com/office/drawing/2014/main" id="{951BC34F-02F0-42E1-A06B-6E560814FE8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2" name="Shape 11">
          <a:extLst>
            <a:ext uri="{FF2B5EF4-FFF2-40B4-BE49-F238E27FC236}">
              <a16:creationId xmlns:a16="http://schemas.microsoft.com/office/drawing/2014/main" id="{821101FE-4AD7-466B-8E83-77C0D9C5E49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3" name="Shape 11">
          <a:extLst>
            <a:ext uri="{FF2B5EF4-FFF2-40B4-BE49-F238E27FC236}">
              <a16:creationId xmlns:a16="http://schemas.microsoft.com/office/drawing/2014/main" id="{90CAB4CA-6E20-4723-856E-96AB8CD281C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14" name="Shape 10">
          <a:extLst>
            <a:ext uri="{FF2B5EF4-FFF2-40B4-BE49-F238E27FC236}">
              <a16:creationId xmlns:a16="http://schemas.microsoft.com/office/drawing/2014/main" id="{BED6CCE5-C9E3-4F24-9C84-87DE6E5227D0}"/>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5" name="Shape 11">
          <a:extLst>
            <a:ext uri="{FF2B5EF4-FFF2-40B4-BE49-F238E27FC236}">
              <a16:creationId xmlns:a16="http://schemas.microsoft.com/office/drawing/2014/main" id="{426FBB06-CE9B-4E38-A412-1FCCD8D14BE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6" name="Shape 11">
          <a:extLst>
            <a:ext uri="{FF2B5EF4-FFF2-40B4-BE49-F238E27FC236}">
              <a16:creationId xmlns:a16="http://schemas.microsoft.com/office/drawing/2014/main" id="{0E11152A-01BC-46F5-A7CF-66AE7CDBD8B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7" name="Shape 11">
          <a:extLst>
            <a:ext uri="{FF2B5EF4-FFF2-40B4-BE49-F238E27FC236}">
              <a16:creationId xmlns:a16="http://schemas.microsoft.com/office/drawing/2014/main" id="{3AD751BD-AA9B-47C2-B5C0-93C20447CCB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8" name="Shape 11">
          <a:extLst>
            <a:ext uri="{FF2B5EF4-FFF2-40B4-BE49-F238E27FC236}">
              <a16:creationId xmlns:a16="http://schemas.microsoft.com/office/drawing/2014/main" id="{4E07D085-8EA9-492F-8CD7-2A5EF3ED616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9" name="Shape 11">
          <a:extLst>
            <a:ext uri="{FF2B5EF4-FFF2-40B4-BE49-F238E27FC236}">
              <a16:creationId xmlns:a16="http://schemas.microsoft.com/office/drawing/2014/main" id="{7C0F9130-A1ED-48D1-8B8E-8ABBEF0171D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0" name="Shape 10">
          <a:extLst>
            <a:ext uri="{FF2B5EF4-FFF2-40B4-BE49-F238E27FC236}">
              <a16:creationId xmlns:a16="http://schemas.microsoft.com/office/drawing/2014/main" id="{A46ACC32-4198-45F1-BC4B-5626E0CFDA9D}"/>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1" name="Shape 11">
          <a:extLst>
            <a:ext uri="{FF2B5EF4-FFF2-40B4-BE49-F238E27FC236}">
              <a16:creationId xmlns:a16="http://schemas.microsoft.com/office/drawing/2014/main" id="{294D21D8-2883-4053-9C33-6AB6B8CB1A8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2" name="Shape 11">
          <a:extLst>
            <a:ext uri="{FF2B5EF4-FFF2-40B4-BE49-F238E27FC236}">
              <a16:creationId xmlns:a16="http://schemas.microsoft.com/office/drawing/2014/main" id="{C9932F15-CB1E-4AD5-BB72-C9B822D3214B}"/>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3" name="Shape 11">
          <a:extLst>
            <a:ext uri="{FF2B5EF4-FFF2-40B4-BE49-F238E27FC236}">
              <a16:creationId xmlns:a16="http://schemas.microsoft.com/office/drawing/2014/main" id="{3C1E6933-4FA7-4065-8F42-286BACF4A1D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4" name="Shape 11">
          <a:extLst>
            <a:ext uri="{FF2B5EF4-FFF2-40B4-BE49-F238E27FC236}">
              <a16:creationId xmlns:a16="http://schemas.microsoft.com/office/drawing/2014/main" id="{94E627E1-C5BF-4BA3-B004-3D68868253C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5" name="Shape 11">
          <a:extLst>
            <a:ext uri="{FF2B5EF4-FFF2-40B4-BE49-F238E27FC236}">
              <a16:creationId xmlns:a16="http://schemas.microsoft.com/office/drawing/2014/main" id="{0998F600-9A51-4A4E-AB08-A2ABAED67DB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6" name="Shape 10">
          <a:extLst>
            <a:ext uri="{FF2B5EF4-FFF2-40B4-BE49-F238E27FC236}">
              <a16:creationId xmlns:a16="http://schemas.microsoft.com/office/drawing/2014/main" id="{3EE09A43-8AAC-4AB6-9324-64D7B1C85EE9}"/>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7" name="Shape 11">
          <a:extLst>
            <a:ext uri="{FF2B5EF4-FFF2-40B4-BE49-F238E27FC236}">
              <a16:creationId xmlns:a16="http://schemas.microsoft.com/office/drawing/2014/main" id="{1BCEF058-F3F9-4A74-9463-D671D1D01F98}"/>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8" name="Shape 13">
          <a:extLst>
            <a:ext uri="{FF2B5EF4-FFF2-40B4-BE49-F238E27FC236}">
              <a16:creationId xmlns:a16="http://schemas.microsoft.com/office/drawing/2014/main" id="{9159B738-54FA-442B-9D5F-8B10EE63CB1F}"/>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29" name="Shape 14">
          <a:extLst>
            <a:ext uri="{FF2B5EF4-FFF2-40B4-BE49-F238E27FC236}">
              <a16:creationId xmlns:a16="http://schemas.microsoft.com/office/drawing/2014/main" id="{31D62845-D11D-4676-9B99-2983C12A509D}"/>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30" name="Shape 10">
          <a:extLst>
            <a:ext uri="{FF2B5EF4-FFF2-40B4-BE49-F238E27FC236}">
              <a16:creationId xmlns:a16="http://schemas.microsoft.com/office/drawing/2014/main" id="{3E88ADF7-0033-4519-9D6C-AF9424AB4CFB}"/>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31" name="Shape 12">
          <a:extLst>
            <a:ext uri="{FF2B5EF4-FFF2-40B4-BE49-F238E27FC236}">
              <a16:creationId xmlns:a16="http://schemas.microsoft.com/office/drawing/2014/main" id="{193D5F99-9C6B-49C8-BCA1-F88BE648EB9D}"/>
            </a:ext>
          </a:extLst>
        </xdr:cNvPr>
        <xdr:cNvSpPr txBox="1"/>
      </xdr:nvSpPr>
      <xdr:spPr>
        <a:xfrm>
          <a:off x="0" y="357854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A3ADF02D-EB6C-44F9-AB81-AB9755C1632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 name="Shape 10">
          <a:extLst>
            <a:ext uri="{FF2B5EF4-FFF2-40B4-BE49-F238E27FC236}">
              <a16:creationId xmlns:a16="http://schemas.microsoft.com/office/drawing/2014/main" id="{A457DF1C-D85C-4B9D-BDAA-6942E57B5C1E}"/>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ADE1FC9D-6940-47CC-8DFE-69DF270376A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2F3327C5-6EF8-43D1-BF9D-72E03C9DB4E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E616399-24F3-43A7-9649-FB7D84F572D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 name="Shape 11">
          <a:extLst>
            <a:ext uri="{FF2B5EF4-FFF2-40B4-BE49-F238E27FC236}">
              <a16:creationId xmlns:a16="http://schemas.microsoft.com/office/drawing/2014/main" id="{CF774FC5-0185-4DF2-9BAA-4373E6ECF19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A7DB9376-65BF-4505-9001-934AA7C2A00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9" name="Shape 10">
          <a:extLst>
            <a:ext uri="{FF2B5EF4-FFF2-40B4-BE49-F238E27FC236}">
              <a16:creationId xmlns:a16="http://schemas.microsoft.com/office/drawing/2014/main" id="{9CFC8BE2-3094-42FB-A6EE-70F7E73EC333}"/>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0" name="Shape 11">
          <a:extLst>
            <a:ext uri="{FF2B5EF4-FFF2-40B4-BE49-F238E27FC236}">
              <a16:creationId xmlns:a16="http://schemas.microsoft.com/office/drawing/2014/main" id="{C4DAC24B-0201-454B-88ED-5E8E0E2E423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430ED82D-4E12-468B-9179-CA28AD7DD13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B7AE372C-1B95-4596-9919-B7CA129AF5C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483752AD-B5A1-4F60-BBC1-6BA8C1F5F7B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2E2EBB6C-29F4-4C46-B9CA-B3C68225EA5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CAA7899A-3661-457A-B2F7-AA2677F3530D}"/>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A34C9742-66D6-4508-A640-67805D9CB44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E77E7361-8DFF-464E-9E72-B7468DE9B8F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EFC3081F-4DED-4AD6-8111-0C10890CEA8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F145BC28-28C7-47DA-A97D-842EEDD012A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6BFAC5A3-6C35-4131-94D9-439C672941F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4BE0852C-A3E0-47DA-A088-8C52726A3E0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90597DC1-3CF6-4E89-8708-B873D31E26A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3222189C-E27C-4687-B258-BCAD8E07409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AB49E57B-10EE-4271-BBCB-1EE8CC8680D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3E877D1E-2A37-4BAB-A91F-00C7BD4F6B8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2C58DC55-D416-4E4C-95C1-A1668F47EF4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41AF95DC-D443-4011-9620-702A55C233A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9714C53C-77D1-4CEF-98CA-F1ECEEA66DF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7BCFC4FB-9944-4D3D-9B4A-C0B60477E5B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40E62DDD-D85F-49AF-B96B-CE32984EF58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D3261736-DA19-41B1-8D52-6F476707DA5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C9162533-3887-4A01-9069-28CA5C67619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CAE8555E-99C9-4315-A30F-5724F91B34F3}"/>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91C07211-D002-409E-9DB4-5A0F377A3CB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1F743CCE-C1B7-4F89-A4C3-DE29F1AC885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BC9514BB-5FA4-4CF6-84D6-914DD95241B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61F7820D-9E1D-470B-832D-70878DD7D52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FA7279DF-3009-472E-BFD5-16C359DFB40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BAB43E9-7B76-43DF-832E-9629418AA54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CA23F684-C7E2-4723-9743-EA691372ABA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DF3F252-1EB9-4832-9330-7728B398E8E5}"/>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B7C4D190-1AC1-487E-AC08-0B1783628EB6}"/>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1D1F17AD-8091-47E5-8597-DD352F40E81B}"/>
            </a:ext>
          </a:extLst>
        </xdr:cNvPr>
        <xdr:cNvSpPr txBox="1"/>
      </xdr:nvSpPr>
      <xdr:spPr>
        <a:xfrm>
          <a:off x="4124325" y="1619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BBC44750-F5FB-4F4C-9836-95D4DFEFD95B}"/>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B9EDC2E9-12C7-40E0-AC8A-79C9E597023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B9D5212A-5608-4556-AD87-7DAF6B4503B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E05ECE57-4625-4FE0-8E77-391E4118CB6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251E1C2A-4625-48F7-976D-E2C70C854C6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3518B8C7-E1AA-4269-AA35-934B8B29C97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68A9DB1E-559C-4BFE-BABD-EE3E19A37E4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62875360-D1B8-40C6-9A97-BBEABA7BC8E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8868C3D8-4E86-4A36-9A6B-0E07CFD3CCDB}"/>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BCE04C19-D803-4689-AD78-8DE24FC5A6B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2671076B-824C-465D-B9F4-C3CF6CBA907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4AA42F16-AE2D-420F-A531-D75156B989E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27663BAE-514A-4928-9BC3-C417FF9B1BA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9DF2C5B3-9339-425E-91A8-F76513707A7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F66331E-4F93-4D7F-8056-DAE95850EE4F}"/>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B294106D-413B-469E-AE62-A1012B35E21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A1377AFC-2130-4CD3-B8A2-F2E60E69A7C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68F966B5-D7B0-4067-B76A-853E2691FB5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AC4D636-B01F-4722-AF5C-2080106BAD8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23AAE92D-DFBC-4615-BEE3-64D48337899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2D3C9CD1-88BC-4AAB-9EC2-11F9074E95E8}"/>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888F7F3A-22D0-494C-874F-2098C975841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29F161CB-37B1-4463-9FFF-845A72AB08F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254E5670-3951-438E-9275-F5C8ABCC724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80F949EF-5158-4BD1-8258-A59F66E5C42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6D9BCD23-3EE6-4DCD-9614-79774B89FD6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920F6727-468D-458B-B48A-95F651785EAD}"/>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E9D7EC02-E519-4F9D-8FDB-B06DA19AFE3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644834F5-2CA3-464D-8DB9-24B97F4DD97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6D54DCAB-BCD0-40C7-8CB6-0DF7B8E58CE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525AB927-900D-4E4F-B550-7CF0C0A3CFF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6381B92C-B6C4-42F0-9A38-1A42B6610C1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D3514F56-D9CE-4778-91F7-C0E7F78908CD}"/>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38CE75E1-AE5B-475B-AA02-D45FDDA9099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BC907044-765A-4081-8E6F-F3549930457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46C3CF4D-D237-4DAF-975C-FDDEC69057C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883306C0-F7B0-4E03-96F2-335B1A5C0BB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B7B5F493-0550-40DD-98B6-9FA91BA0525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ED736A93-1BF6-4466-B5C4-BE61BE88FDBE}"/>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7C777E17-8058-443A-92B1-7065B6B232D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27D0668-44E6-41D7-B654-2F13441894E9}"/>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A6C17339-CAEF-410E-B968-AA596C247C3E}"/>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8B1F446C-78E2-4B77-9DB8-7F1DFABD70B4}"/>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61997A80-6AA6-4BD4-A1D5-A262CCBBDB36}"/>
            </a:ext>
          </a:extLst>
        </xdr:cNvPr>
        <xdr:cNvSpPr txBox="1"/>
      </xdr:nvSpPr>
      <xdr:spPr>
        <a:xfrm>
          <a:off x="0" y="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88" name="Shape 11">
          <a:extLst>
            <a:ext uri="{FF2B5EF4-FFF2-40B4-BE49-F238E27FC236}">
              <a16:creationId xmlns:a16="http://schemas.microsoft.com/office/drawing/2014/main" id="{246D5D1A-35A3-43C8-9DC7-EB9463CF4C2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89" name="Shape 10">
          <a:extLst>
            <a:ext uri="{FF2B5EF4-FFF2-40B4-BE49-F238E27FC236}">
              <a16:creationId xmlns:a16="http://schemas.microsoft.com/office/drawing/2014/main" id="{0EE46D3B-F3D3-42E2-80EE-E52EDA91180E}"/>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0" name="Shape 11">
          <a:extLst>
            <a:ext uri="{FF2B5EF4-FFF2-40B4-BE49-F238E27FC236}">
              <a16:creationId xmlns:a16="http://schemas.microsoft.com/office/drawing/2014/main" id="{5DA25FF6-85FD-4BFC-908D-80050E88137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1" name="Shape 11">
          <a:extLst>
            <a:ext uri="{FF2B5EF4-FFF2-40B4-BE49-F238E27FC236}">
              <a16:creationId xmlns:a16="http://schemas.microsoft.com/office/drawing/2014/main" id="{9116B369-1C47-466B-9C79-C651A62489A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2" name="Shape 11">
          <a:extLst>
            <a:ext uri="{FF2B5EF4-FFF2-40B4-BE49-F238E27FC236}">
              <a16:creationId xmlns:a16="http://schemas.microsoft.com/office/drawing/2014/main" id="{FF1D20D0-CDAB-4C8E-B1FF-B5176818984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3" name="Shape 11">
          <a:extLst>
            <a:ext uri="{FF2B5EF4-FFF2-40B4-BE49-F238E27FC236}">
              <a16:creationId xmlns:a16="http://schemas.microsoft.com/office/drawing/2014/main" id="{3B90E588-4E28-4039-97DA-04798AAE7E2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4" name="Shape 11">
          <a:extLst>
            <a:ext uri="{FF2B5EF4-FFF2-40B4-BE49-F238E27FC236}">
              <a16:creationId xmlns:a16="http://schemas.microsoft.com/office/drawing/2014/main" id="{733664A2-46D8-4679-97C5-2F9E9D17688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95" name="Shape 10">
          <a:extLst>
            <a:ext uri="{FF2B5EF4-FFF2-40B4-BE49-F238E27FC236}">
              <a16:creationId xmlns:a16="http://schemas.microsoft.com/office/drawing/2014/main" id="{EA0BA708-864F-42BB-B26E-01746FCB4C8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6" name="Shape 11">
          <a:extLst>
            <a:ext uri="{FF2B5EF4-FFF2-40B4-BE49-F238E27FC236}">
              <a16:creationId xmlns:a16="http://schemas.microsoft.com/office/drawing/2014/main" id="{9B480ABB-CE1E-4581-B02F-0FBCE949151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7" name="Shape 11">
          <a:extLst>
            <a:ext uri="{FF2B5EF4-FFF2-40B4-BE49-F238E27FC236}">
              <a16:creationId xmlns:a16="http://schemas.microsoft.com/office/drawing/2014/main" id="{24A6CC6B-E421-463E-B1E9-BBB4965CCAB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8" name="Shape 11">
          <a:extLst>
            <a:ext uri="{FF2B5EF4-FFF2-40B4-BE49-F238E27FC236}">
              <a16:creationId xmlns:a16="http://schemas.microsoft.com/office/drawing/2014/main" id="{E03D4CCC-79A9-42C2-852A-57E296D960D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9" name="Shape 11">
          <a:extLst>
            <a:ext uri="{FF2B5EF4-FFF2-40B4-BE49-F238E27FC236}">
              <a16:creationId xmlns:a16="http://schemas.microsoft.com/office/drawing/2014/main" id="{1B6680FC-75E4-4E08-B88B-3D68BC14513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0" name="Shape 11">
          <a:extLst>
            <a:ext uri="{FF2B5EF4-FFF2-40B4-BE49-F238E27FC236}">
              <a16:creationId xmlns:a16="http://schemas.microsoft.com/office/drawing/2014/main" id="{30C2816B-8D3B-4E29-AD84-125190F390D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1" name="Shape 10">
          <a:extLst>
            <a:ext uri="{FF2B5EF4-FFF2-40B4-BE49-F238E27FC236}">
              <a16:creationId xmlns:a16="http://schemas.microsoft.com/office/drawing/2014/main" id="{44933B6A-FDD8-4227-96C1-8F80661B93FA}"/>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2" name="Shape 11">
          <a:extLst>
            <a:ext uri="{FF2B5EF4-FFF2-40B4-BE49-F238E27FC236}">
              <a16:creationId xmlns:a16="http://schemas.microsoft.com/office/drawing/2014/main" id="{40BBA885-2579-49DE-A16F-DB7BB105900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3" name="Shape 11">
          <a:extLst>
            <a:ext uri="{FF2B5EF4-FFF2-40B4-BE49-F238E27FC236}">
              <a16:creationId xmlns:a16="http://schemas.microsoft.com/office/drawing/2014/main" id="{8D085D11-8EC4-4C08-8987-A55071202B1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4" name="Shape 11">
          <a:extLst>
            <a:ext uri="{FF2B5EF4-FFF2-40B4-BE49-F238E27FC236}">
              <a16:creationId xmlns:a16="http://schemas.microsoft.com/office/drawing/2014/main" id="{FEB3B40C-0E75-465B-B4BB-C06F1E7AA7F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5" name="Shape 11">
          <a:extLst>
            <a:ext uri="{FF2B5EF4-FFF2-40B4-BE49-F238E27FC236}">
              <a16:creationId xmlns:a16="http://schemas.microsoft.com/office/drawing/2014/main" id="{6AE9E579-E309-4E02-A4CE-79B266C0406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6" name="Shape 11">
          <a:extLst>
            <a:ext uri="{FF2B5EF4-FFF2-40B4-BE49-F238E27FC236}">
              <a16:creationId xmlns:a16="http://schemas.microsoft.com/office/drawing/2014/main" id="{5ADC5D6D-9B47-47D7-8D2C-AD998E614FB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7" name="Shape 10">
          <a:extLst>
            <a:ext uri="{FF2B5EF4-FFF2-40B4-BE49-F238E27FC236}">
              <a16:creationId xmlns:a16="http://schemas.microsoft.com/office/drawing/2014/main" id="{11A58151-9C27-4A35-84DE-BA8F3BD2C582}"/>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8" name="Shape 11">
          <a:extLst>
            <a:ext uri="{FF2B5EF4-FFF2-40B4-BE49-F238E27FC236}">
              <a16:creationId xmlns:a16="http://schemas.microsoft.com/office/drawing/2014/main" id="{9F94E689-1EFE-4236-847B-DBA0C307C6D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9" name="Shape 11">
          <a:extLst>
            <a:ext uri="{FF2B5EF4-FFF2-40B4-BE49-F238E27FC236}">
              <a16:creationId xmlns:a16="http://schemas.microsoft.com/office/drawing/2014/main" id="{A017D283-FBDA-48F3-8038-DD1461AC533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0" name="Shape 11">
          <a:extLst>
            <a:ext uri="{FF2B5EF4-FFF2-40B4-BE49-F238E27FC236}">
              <a16:creationId xmlns:a16="http://schemas.microsoft.com/office/drawing/2014/main" id="{85ADD88D-3D26-43A4-A14C-9DFF99E3F58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1" name="Shape 11">
          <a:extLst>
            <a:ext uri="{FF2B5EF4-FFF2-40B4-BE49-F238E27FC236}">
              <a16:creationId xmlns:a16="http://schemas.microsoft.com/office/drawing/2014/main" id="{03D05F5C-9B18-4ADF-9AF4-4815114D0C4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2" name="Shape 11">
          <a:extLst>
            <a:ext uri="{FF2B5EF4-FFF2-40B4-BE49-F238E27FC236}">
              <a16:creationId xmlns:a16="http://schemas.microsoft.com/office/drawing/2014/main" id="{2B4C2311-A9DA-415A-AF65-A693C607D48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3" name="Shape 10">
          <a:extLst>
            <a:ext uri="{FF2B5EF4-FFF2-40B4-BE49-F238E27FC236}">
              <a16:creationId xmlns:a16="http://schemas.microsoft.com/office/drawing/2014/main" id="{CF3F5A05-68AF-407F-B960-7D44C526B189}"/>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4" name="Shape 11">
          <a:extLst>
            <a:ext uri="{FF2B5EF4-FFF2-40B4-BE49-F238E27FC236}">
              <a16:creationId xmlns:a16="http://schemas.microsoft.com/office/drawing/2014/main" id="{9353066B-CBDB-4024-8F95-1892E9716E1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5" name="Shape 11">
          <a:extLst>
            <a:ext uri="{FF2B5EF4-FFF2-40B4-BE49-F238E27FC236}">
              <a16:creationId xmlns:a16="http://schemas.microsoft.com/office/drawing/2014/main" id="{43F5BB0E-C044-40ED-B29D-935ABC1E42C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6" name="Shape 11">
          <a:extLst>
            <a:ext uri="{FF2B5EF4-FFF2-40B4-BE49-F238E27FC236}">
              <a16:creationId xmlns:a16="http://schemas.microsoft.com/office/drawing/2014/main" id="{FD48AA98-9C34-4B03-BF03-233D460CDE2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7" name="Shape 11">
          <a:extLst>
            <a:ext uri="{FF2B5EF4-FFF2-40B4-BE49-F238E27FC236}">
              <a16:creationId xmlns:a16="http://schemas.microsoft.com/office/drawing/2014/main" id="{A9C03D54-BBB3-40A1-B721-06E927D068F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8" name="Shape 11">
          <a:extLst>
            <a:ext uri="{FF2B5EF4-FFF2-40B4-BE49-F238E27FC236}">
              <a16:creationId xmlns:a16="http://schemas.microsoft.com/office/drawing/2014/main" id="{E29F9C30-F596-4126-A2F5-F96284DDDA1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9" name="Shape 10">
          <a:extLst>
            <a:ext uri="{FF2B5EF4-FFF2-40B4-BE49-F238E27FC236}">
              <a16:creationId xmlns:a16="http://schemas.microsoft.com/office/drawing/2014/main" id="{E00567C2-F1B1-4254-9717-F2D0B8BDB58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0" name="Shape 11">
          <a:extLst>
            <a:ext uri="{FF2B5EF4-FFF2-40B4-BE49-F238E27FC236}">
              <a16:creationId xmlns:a16="http://schemas.microsoft.com/office/drawing/2014/main" id="{ED6DC233-FE07-4E8D-A69D-C1A6F7779B1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1" name="Shape 11">
          <a:extLst>
            <a:ext uri="{FF2B5EF4-FFF2-40B4-BE49-F238E27FC236}">
              <a16:creationId xmlns:a16="http://schemas.microsoft.com/office/drawing/2014/main" id="{CC5D7EE8-840F-467A-B4C9-6D5D14A2C41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2" name="Shape 11">
          <a:extLst>
            <a:ext uri="{FF2B5EF4-FFF2-40B4-BE49-F238E27FC236}">
              <a16:creationId xmlns:a16="http://schemas.microsoft.com/office/drawing/2014/main" id="{397DEC34-F640-4491-BD0A-CAF81A025AB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3" name="Shape 11">
          <a:extLst>
            <a:ext uri="{FF2B5EF4-FFF2-40B4-BE49-F238E27FC236}">
              <a16:creationId xmlns:a16="http://schemas.microsoft.com/office/drawing/2014/main" id="{18AB8C54-5A3B-4B34-A0EE-D79859EB10F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4" name="Shape 11">
          <a:extLst>
            <a:ext uri="{FF2B5EF4-FFF2-40B4-BE49-F238E27FC236}">
              <a16:creationId xmlns:a16="http://schemas.microsoft.com/office/drawing/2014/main" id="{0CB29712-62D5-4F43-AFC0-378C66592D6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5" name="Shape 10">
          <a:extLst>
            <a:ext uri="{FF2B5EF4-FFF2-40B4-BE49-F238E27FC236}">
              <a16:creationId xmlns:a16="http://schemas.microsoft.com/office/drawing/2014/main" id="{7EF1BE7A-9798-4885-B75E-18A9FB54267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6" name="Shape 11">
          <a:extLst>
            <a:ext uri="{FF2B5EF4-FFF2-40B4-BE49-F238E27FC236}">
              <a16:creationId xmlns:a16="http://schemas.microsoft.com/office/drawing/2014/main" id="{F1DCE5D0-BEF5-4A2A-955B-02D0020517E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7" name="Shape 13">
          <a:extLst>
            <a:ext uri="{FF2B5EF4-FFF2-40B4-BE49-F238E27FC236}">
              <a16:creationId xmlns:a16="http://schemas.microsoft.com/office/drawing/2014/main" id="{E450949D-E3DE-497C-9BE7-908065512D99}"/>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28" name="Shape 14">
          <a:extLst>
            <a:ext uri="{FF2B5EF4-FFF2-40B4-BE49-F238E27FC236}">
              <a16:creationId xmlns:a16="http://schemas.microsoft.com/office/drawing/2014/main" id="{6F1F5F5F-1247-49F9-BA63-CD074A4DE46F}"/>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9" name="Shape 10">
          <a:extLst>
            <a:ext uri="{FF2B5EF4-FFF2-40B4-BE49-F238E27FC236}">
              <a16:creationId xmlns:a16="http://schemas.microsoft.com/office/drawing/2014/main" id="{7E41746B-5175-4DEB-9A03-F451E2143EA1}"/>
            </a:ext>
          </a:extLst>
        </xdr:cNvPr>
        <xdr:cNvSpPr txBox="1"/>
      </xdr:nvSpPr>
      <xdr:spPr>
        <a:xfrm>
          <a:off x="4124325" y="90678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30" name="Shape 14">
          <a:extLst>
            <a:ext uri="{FF2B5EF4-FFF2-40B4-BE49-F238E27FC236}">
              <a16:creationId xmlns:a16="http://schemas.microsoft.com/office/drawing/2014/main" id="{F59B9785-C7CB-48DF-B319-13766AA1202E}"/>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1" name="Shape 11">
          <a:extLst>
            <a:ext uri="{FF2B5EF4-FFF2-40B4-BE49-F238E27FC236}">
              <a16:creationId xmlns:a16="http://schemas.microsoft.com/office/drawing/2014/main" id="{52AA2B1A-115A-48D7-83F9-5E2A16447E8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2" name="Shape 10">
          <a:extLst>
            <a:ext uri="{FF2B5EF4-FFF2-40B4-BE49-F238E27FC236}">
              <a16:creationId xmlns:a16="http://schemas.microsoft.com/office/drawing/2014/main" id="{D1FB3092-3B7D-4A86-B457-187FDA815C3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3" name="Shape 11">
          <a:extLst>
            <a:ext uri="{FF2B5EF4-FFF2-40B4-BE49-F238E27FC236}">
              <a16:creationId xmlns:a16="http://schemas.microsoft.com/office/drawing/2014/main" id="{318BD189-6E32-4A9D-A8CA-7697B214225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4" name="Shape 11">
          <a:extLst>
            <a:ext uri="{FF2B5EF4-FFF2-40B4-BE49-F238E27FC236}">
              <a16:creationId xmlns:a16="http://schemas.microsoft.com/office/drawing/2014/main" id="{679DC099-6171-4043-A1CB-E584DF6F18D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5" name="Shape 11">
          <a:extLst>
            <a:ext uri="{FF2B5EF4-FFF2-40B4-BE49-F238E27FC236}">
              <a16:creationId xmlns:a16="http://schemas.microsoft.com/office/drawing/2014/main" id="{5684439C-0750-4BDF-BDC6-B4888997DD4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6" name="Shape 11">
          <a:extLst>
            <a:ext uri="{FF2B5EF4-FFF2-40B4-BE49-F238E27FC236}">
              <a16:creationId xmlns:a16="http://schemas.microsoft.com/office/drawing/2014/main" id="{74CFF739-ABA6-43CA-A487-A2554CB49F1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7" name="Shape 11">
          <a:extLst>
            <a:ext uri="{FF2B5EF4-FFF2-40B4-BE49-F238E27FC236}">
              <a16:creationId xmlns:a16="http://schemas.microsoft.com/office/drawing/2014/main" id="{63E4D859-9444-408D-A0BE-AD3ED9564DD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8" name="Shape 10">
          <a:extLst>
            <a:ext uri="{FF2B5EF4-FFF2-40B4-BE49-F238E27FC236}">
              <a16:creationId xmlns:a16="http://schemas.microsoft.com/office/drawing/2014/main" id="{761DD741-410E-4E91-BA0F-F12C3F09571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9" name="Shape 11">
          <a:extLst>
            <a:ext uri="{FF2B5EF4-FFF2-40B4-BE49-F238E27FC236}">
              <a16:creationId xmlns:a16="http://schemas.microsoft.com/office/drawing/2014/main" id="{66504862-4BE7-4257-B7B9-CAC5F417267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0" name="Shape 11">
          <a:extLst>
            <a:ext uri="{FF2B5EF4-FFF2-40B4-BE49-F238E27FC236}">
              <a16:creationId xmlns:a16="http://schemas.microsoft.com/office/drawing/2014/main" id="{8B0B9E9B-70C8-488A-90FB-C729E7CABF3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1" name="Shape 11">
          <a:extLst>
            <a:ext uri="{FF2B5EF4-FFF2-40B4-BE49-F238E27FC236}">
              <a16:creationId xmlns:a16="http://schemas.microsoft.com/office/drawing/2014/main" id="{4D0163CF-E157-4D1E-A9DC-6436E63DF86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2" name="Shape 11">
          <a:extLst>
            <a:ext uri="{FF2B5EF4-FFF2-40B4-BE49-F238E27FC236}">
              <a16:creationId xmlns:a16="http://schemas.microsoft.com/office/drawing/2014/main" id="{01B83038-8B17-4CA1-BEE3-9C5C02DE27F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3" name="Shape 11">
          <a:extLst>
            <a:ext uri="{FF2B5EF4-FFF2-40B4-BE49-F238E27FC236}">
              <a16:creationId xmlns:a16="http://schemas.microsoft.com/office/drawing/2014/main" id="{7942DC73-CE54-480B-BD13-BBCBBBE9201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44" name="Shape 10">
          <a:extLst>
            <a:ext uri="{FF2B5EF4-FFF2-40B4-BE49-F238E27FC236}">
              <a16:creationId xmlns:a16="http://schemas.microsoft.com/office/drawing/2014/main" id="{7C7C800B-D352-46A2-9A30-7DB5A34299C4}"/>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5" name="Shape 11">
          <a:extLst>
            <a:ext uri="{FF2B5EF4-FFF2-40B4-BE49-F238E27FC236}">
              <a16:creationId xmlns:a16="http://schemas.microsoft.com/office/drawing/2014/main" id="{844BDF33-2004-4D4D-8C6E-C5F252378F8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6" name="Shape 11">
          <a:extLst>
            <a:ext uri="{FF2B5EF4-FFF2-40B4-BE49-F238E27FC236}">
              <a16:creationId xmlns:a16="http://schemas.microsoft.com/office/drawing/2014/main" id="{A2FF5001-F062-41DB-B768-8FE0F143733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7" name="Shape 11">
          <a:extLst>
            <a:ext uri="{FF2B5EF4-FFF2-40B4-BE49-F238E27FC236}">
              <a16:creationId xmlns:a16="http://schemas.microsoft.com/office/drawing/2014/main" id="{843FC062-CBF2-4113-B438-74C0ED17307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8" name="Shape 11">
          <a:extLst>
            <a:ext uri="{FF2B5EF4-FFF2-40B4-BE49-F238E27FC236}">
              <a16:creationId xmlns:a16="http://schemas.microsoft.com/office/drawing/2014/main" id="{E05F9EE3-6775-4C3A-AB6E-EE56F1A26C1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9" name="Shape 11">
          <a:extLst>
            <a:ext uri="{FF2B5EF4-FFF2-40B4-BE49-F238E27FC236}">
              <a16:creationId xmlns:a16="http://schemas.microsoft.com/office/drawing/2014/main" id="{89D92068-F603-446C-8EA2-EA685234D5C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0" name="Shape 10">
          <a:extLst>
            <a:ext uri="{FF2B5EF4-FFF2-40B4-BE49-F238E27FC236}">
              <a16:creationId xmlns:a16="http://schemas.microsoft.com/office/drawing/2014/main" id="{AE68E3EB-AB4D-45CA-892A-A3C6C11F2B31}"/>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1" name="Shape 11">
          <a:extLst>
            <a:ext uri="{FF2B5EF4-FFF2-40B4-BE49-F238E27FC236}">
              <a16:creationId xmlns:a16="http://schemas.microsoft.com/office/drawing/2014/main" id="{2516E3F4-B84C-4DE4-A8BB-E8B2EFA448C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2" name="Shape 11">
          <a:extLst>
            <a:ext uri="{FF2B5EF4-FFF2-40B4-BE49-F238E27FC236}">
              <a16:creationId xmlns:a16="http://schemas.microsoft.com/office/drawing/2014/main" id="{5CCA642A-FA54-41E5-89CA-39DD2A2A7FB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3" name="Shape 11">
          <a:extLst>
            <a:ext uri="{FF2B5EF4-FFF2-40B4-BE49-F238E27FC236}">
              <a16:creationId xmlns:a16="http://schemas.microsoft.com/office/drawing/2014/main" id="{BACBAD3D-DFB1-49D3-BF58-52E0707AF75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4" name="Shape 11">
          <a:extLst>
            <a:ext uri="{FF2B5EF4-FFF2-40B4-BE49-F238E27FC236}">
              <a16:creationId xmlns:a16="http://schemas.microsoft.com/office/drawing/2014/main" id="{62870D1B-073B-402C-922F-88FDA0F3041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5" name="Shape 11">
          <a:extLst>
            <a:ext uri="{FF2B5EF4-FFF2-40B4-BE49-F238E27FC236}">
              <a16:creationId xmlns:a16="http://schemas.microsoft.com/office/drawing/2014/main" id="{4D579C0F-FD68-49DC-BC4E-B5ACD0E560F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6" name="Shape 10">
          <a:extLst>
            <a:ext uri="{FF2B5EF4-FFF2-40B4-BE49-F238E27FC236}">
              <a16:creationId xmlns:a16="http://schemas.microsoft.com/office/drawing/2014/main" id="{C0FB2571-45AD-4BAE-A521-B109475A1DFE}"/>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7" name="Shape 11">
          <a:extLst>
            <a:ext uri="{FF2B5EF4-FFF2-40B4-BE49-F238E27FC236}">
              <a16:creationId xmlns:a16="http://schemas.microsoft.com/office/drawing/2014/main" id="{3E80C361-DAA6-4F8C-B680-758CFF364A4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8" name="Shape 11">
          <a:extLst>
            <a:ext uri="{FF2B5EF4-FFF2-40B4-BE49-F238E27FC236}">
              <a16:creationId xmlns:a16="http://schemas.microsoft.com/office/drawing/2014/main" id="{4C338632-97C1-49F2-8419-41E0A7FD400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9" name="Shape 11">
          <a:extLst>
            <a:ext uri="{FF2B5EF4-FFF2-40B4-BE49-F238E27FC236}">
              <a16:creationId xmlns:a16="http://schemas.microsoft.com/office/drawing/2014/main" id="{A5DD6B6C-3030-446E-8FA7-93E249805FA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0" name="Shape 11">
          <a:extLst>
            <a:ext uri="{FF2B5EF4-FFF2-40B4-BE49-F238E27FC236}">
              <a16:creationId xmlns:a16="http://schemas.microsoft.com/office/drawing/2014/main" id="{F0F7D6BB-AFB9-4B1E-85FF-F90EB690AA4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1" name="Shape 11">
          <a:extLst>
            <a:ext uri="{FF2B5EF4-FFF2-40B4-BE49-F238E27FC236}">
              <a16:creationId xmlns:a16="http://schemas.microsoft.com/office/drawing/2014/main" id="{AB04E31A-31C3-4F78-9820-6454B4841C4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2" name="Shape 10">
          <a:extLst>
            <a:ext uri="{FF2B5EF4-FFF2-40B4-BE49-F238E27FC236}">
              <a16:creationId xmlns:a16="http://schemas.microsoft.com/office/drawing/2014/main" id="{C57418B4-CDC9-44F2-980E-F79CCABB9D3F}"/>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3" name="Shape 11">
          <a:extLst>
            <a:ext uri="{FF2B5EF4-FFF2-40B4-BE49-F238E27FC236}">
              <a16:creationId xmlns:a16="http://schemas.microsoft.com/office/drawing/2014/main" id="{AEBF5BBF-D8AE-4690-AA7D-CC2CD0360CC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4" name="Shape 11">
          <a:extLst>
            <a:ext uri="{FF2B5EF4-FFF2-40B4-BE49-F238E27FC236}">
              <a16:creationId xmlns:a16="http://schemas.microsoft.com/office/drawing/2014/main" id="{49AC8EC2-3CB9-4709-83DC-3E91A01DCD0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5" name="Shape 11">
          <a:extLst>
            <a:ext uri="{FF2B5EF4-FFF2-40B4-BE49-F238E27FC236}">
              <a16:creationId xmlns:a16="http://schemas.microsoft.com/office/drawing/2014/main" id="{EB3AEE75-6AA1-4AB1-8020-BD59280E83C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6" name="Shape 11">
          <a:extLst>
            <a:ext uri="{FF2B5EF4-FFF2-40B4-BE49-F238E27FC236}">
              <a16:creationId xmlns:a16="http://schemas.microsoft.com/office/drawing/2014/main" id="{82A5AB11-E295-43B0-8985-F0C58CAD6CC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7" name="Shape 11">
          <a:extLst>
            <a:ext uri="{FF2B5EF4-FFF2-40B4-BE49-F238E27FC236}">
              <a16:creationId xmlns:a16="http://schemas.microsoft.com/office/drawing/2014/main" id="{1BA0518F-7875-4EF5-B809-6EC9263BE6E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8" name="Shape 10">
          <a:extLst>
            <a:ext uri="{FF2B5EF4-FFF2-40B4-BE49-F238E27FC236}">
              <a16:creationId xmlns:a16="http://schemas.microsoft.com/office/drawing/2014/main" id="{9DA834B2-D1FE-4783-8252-B4D934C64347}"/>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9" name="Shape 11">
          <a:extLst>
            <a:ext uri="{FF2B5EF4-FFF2-40B4-BE49-F238E27FC236}">
              <a16:creationId xmlns:a16="http://schemas.microsoft.com/office/drawing/2014/main" id="{E26BA8E7-9DBD-4FC8-A48B-6DD062891B6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0" name="Shape 13">
          <a:extLst>
            <a:ext uri="{FF2B5EF4-FFF2-40B4-BE49-F238E27FC236}">
              <a16:creationId xmlns:a16="http://schemas.microsoft.com/office/drawing/2014/main" id="{F7F39B97-846B-436F-B46F-9A8D08C5DF33}"/>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1" name="Shape 14">
          <a:extLst>
            <a:ext uri="{FF2B5EF4-FFF2-40B4-BE49-F238E27FC236}">
              <a16:creationId xmlns:a16="http://schemas.microsoft.com/office/drawing/2014/main" id="{72E03541-AA06-469C-91FC-9B19079BE9BF}"/>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2" name="Shape 10">
          <a:extLst>
            <a:ext uri="{FF2B5EF4-FFF2-40B4-BE49-F238E27FC236}">
              <a16:creationId xmlns:a16="http://schemas.microsoft.com/office/drawing/2014/main" id="{089ABA62-1118-4530-817D-122A5CFB6FBD}"/>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3" name="Shape 12">
          <a:extLst>
            <a:ext uri="{FF2B5EF4-FFF2-40B4-BE49-F238E27FC236}">
              <a16:creationId xmlns:a16="http://schemas.microsoft.com/office/drawing/2014/main" id="{61DD6A61-CA26-4229-937A-0D70656A27AD}"/>
            </a:ext>
          </a:extLst>
        </xdr:cNvPr>
        <xdr:cNvSpPr txBox="1"/>
      </xdr:nvSpPr>
      <xdr:spPr>
        <a:xfrm>
          <a:off x="0" y="89058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4" name="Shape 11">
          <a:extLst>
            <a:ext uri="{FF2B5EF4-FFF2-40B4-BE49-F238E27FC236}">
              <a16:creationId xmlns:a16="http://schemas.microsoft.com/office/drawing/2014/main" id="{E76DDF18-A22D-4C2F-AE89-5C2799A6419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5" name="Shape 10">
          <a:extLst>
            <a:ext uri="{FF2B5EF4-FFF2-40B4-BE49-F238E27FC236}">
              <a16:creationId xmlns:a16="http://schemas.microsoft.com/office/drawing/2014/main" id="{2023E732-C912-47C4-A284-607D792F485E}"/>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6" name="Shape 11">
          <a:extLst>
            <a:ext uri="{FF2B5EF4-FFF2-40B4-BE49-F238E27FC236}">
              <a16:creationId xmlns:a16="http://schemas.microsoft.com/office/drawing/2014/main" id="{C42523D9-E192-448E-ACCF-4E499223A43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7" name="Shape 11">
          <a:extLst>
            <a:ext uri="{FF2B5EF4-FFF2-40B4-BE49-F238E27FC236}">
              <a16:creationId xmlns:a16="http://schemas.microsoft.com/office/drawing/2014/main" id="{1895D9D2-CBC0-4387-B336-252CD414455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8" name="Shape 11">
          <a:extLst>
            <a:ext uri="{FF2B5EF4-FFF2-40B4-BE49-F238E27FC236}">
              <a16:creationId xmlns:a16="http://schemas.microsoft.com/office/drawing/2014/main" id="{3831F711-DC32-413A-A064-C5B9B77DF4D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9" name="Shape 11">
          <a:extLst>
            <a:ext uri="{FF2B5EF4-FFF2-40B4-BE49-F238E27FC236}">
              <a16:creationId xmlns:a16="http://schemas.microsoft.com/office/drawing/2014/main" id="{106437D7-59E9-46C5-A3C1-341C3F80D9F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0" name="Shape 11">
          <a:extLst>
            <a:ext uri="{FF2B5EF4-FFF2-40B4-BE49-F238E27FC236}">
              <a16:creationId xmlns:a16="http://schemas.microsoft.com/office/drawing/2014/main" id="{59D7F0AF-ABED-4D9A-8018-3DA58B48F9E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1" name="Shape 10">
          <a:extLst>
            <a:ext uri="{FF2B5EF4-FFF2-40B4-BE49-F238E27FC236}">
              <a16:creationId xmlns:a16="http://schemas.microsoft.com/office/drawing/2014/main" id="{CD707713-C0B2-46E8-95A6-0B027783182B}"/>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2" name="Shape 11">
          <a:extLst>
            <a:ext uri="{FF2B5EF4-FFF2-40B4-BE49-F238E27FC236}">
              <a16:creationId xmlns:a16="http://schemas.microsoft.com/office/drawing/2014/main" id="{92A036D8-EC54-4B5A-8918-6DBD46724E4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3" name="Shape 11">
          <a:extLst>
            <a:ext uri="{FF2B5EF4-FFF2-40B4-BE49-F238E27FC236}">
              <a16:creationId xmlns:a16="http://schemas.microsoft.com/office/drawing/2014/main" id="{FF74CF9A-36D4-4B3C-9025-D025685367D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4" name="Shape 11">
          <a:extLst>
            <a:ext uri="{FF2B5EF4-FFF2-40B4-BE49-F238E27FC236}">
              <a16:creationId xmlns:a16="http://schemas.microsoft.com/office/drawing/2014/main" id="{97992AD1-8C06-405F-9528-5F1F9229E1E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5" name="Shape 11">
          <a:extLst>
            <a:ext uri="{FF2B5EF4-FFF2-40B4-BE49-F238E27FC236}">
              <a16:creationId xmlns:a16="http://schemas.microsoft.com/office/drawing/2014/main" id="{52C18A4A-76C0-420A-B953-32EFD98CD5E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6" name="Shape 11">
          <a:extLst>
            <a:ext uri="{FF2B5EF4-FFF2-40B4-BE49-F238E27FC236}">
              <a16:creationId xmlns:a16="http://schemas.microsoft.com/office/drawing/2014/main" id="{96D36AF2-96A7-41C9-8862-60B56D945C7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7" name="Shape 10">
          <a:extLst>
            <a:ext uri="{FF2B5EF4-FFF2-40B4-BE49-F238E27FC236}">
              <a16:creationId xmlns:a16="http://schemas.microsoft.com/office/drawing/2014/main" id="{B8385F50-1944-4ED9-B3E6-DB30880D6D24}"/>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8" name="Shape 11">
          <a:extLst>
            <a:ext uri="{FF2B5EF4-FFF2-40B4-BE49-F238E27FC236}">
              <a16:creationId xmlns:a16="http://schemas.microsoft.com/office/drawing/2014/main" id="{C5A7F6E4-D303-4F66-97A9-469CCE1D063D}"/>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9" name="Shape 11">
          <a:extLst>
            <a:ext uri="{FF2B5EF4-FFF2-40B4-BE49-F238E27FC236}">
              <a16:creationId xmlns:a16="http://schemas.microsoft.com/office/drawing/2014/main" id="{BAFB1D21-F70F-4EBB-8CB0-C41B16C8172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0" name="Shape 11">
          <a:extLst>
            <a:ext uri="{FF2B5EF4-FFF2-40B4-BE49-F238E27FC236}">
              <a16:creationId xmlns:a16="http://schemas.microsoft.com/office/drawing/2014/main" id="{A16D4B83-C320-43CB-B6AB-C5115126F8A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1" name="Shape 11">
          <a:extLst>
            <a:ext uri="{FF2B5EF4-FFF2-40B4-BE49-F238E27FC236}">
              <a16:creationId xmlns:a16="http://schemas.microsoft.com/office/drawing/2014/main" id="{89864778-B87A-44DB-8D50-09DFB3937DA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2" name="Shape 11">
          <a:extLst>
            <a:ext uri="{FF2B5EF4-FFF2-40B4-BE49-F238E27FC236}">
              <a16:creationId xmlns:a16="http://schemas.microsoft.com/office/drawing/2014/main" id="{573FC2F1-78BF-40B0-8D41-1A3D4EFA750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3" name="Shape 10">
          <a:extLst>
            <a:ext uri="{FF2B5EF4-FFF2-40B4-BE49-F238E27FC236}">
              <a16:creationId xmlns:a16="http://schemas.microsoft.com/office/drawing/2014/main" id="{6B81E0BD-0351-4B3A-80B2-34F59375A80A}"/>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4" name="Shape 11">
          <a:extLst>
            <a:ext uri="{FF2B5EF4-FFF2-40B4-BE49-F238E27FC236}">
              <a16:creationId xmlns:a16="http://schemas.microsoft.com/office/drawing/2014/main" id="{A6A74310-45E1-4842-B8F9-939DEF614AF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5" name="Shape 11">
          <a:extLst>
            <a:ext uri="{FF2B5EF4-FFF2-40B4-BE49-F238E27FC236}">
              <a16:creationId xmlns:a16="http://schemas.microsoft.com/office/drawing/2014/main" id="{06F52093-592C-4517-8F59-F330A5018B2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6" name="Shape 11">
          <a:extLst>
            <a:ext uri="{FF2B5EF4-FFF2-40B4-BE49-F238E27FC236}">
              <a16:creationId xmlns:a16="http://schemas.microsoft.com/office/drawing/2014/main" id="{2E3FF432-1385-4F0D-B373-01F6B7834DC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7" name="Shape 11">
          <a:extLst>
            <a:ext uri="{FF2B5EF4-FFF2-40B4-BE49-F238E27FC236}">
              <a16:creationId xmlns:a16="http://schemas.microsoft.com/office/drawing/2014/main" id="{853BE6B3-B1A8-4BC3-8EBB-878E04C3EB7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8" name="Shape 11">
          <a:extLst>
            <a:ext uri="{FF2B5EF4-FFF2-40B4-BE49-F238E27FC236}">
              <a16:creationId xmlns:a16="http://schemas.microsoft.com/office/drawing/2014/main" id="{333CA4BD-66B0-4C15-A9B8-57CE54D2DA7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9" name="Shape 10">
          <a:extLst>
            <a:ext uri="{FF2B5EF4-FFF2-40B4-BE49-F238E27FC236}">
              <a16:creationId xmlns:a16="http://schemas.microsoft.com/office/drawing/2014/main" id="{AB109999-5F8C-43D0-9FDF-2A6A2EDA7962}"/>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0" name="Shape 11">
          <a:extLst>
            <a:ext uri="{FF2B5EF4-FFF2-40B4-BE49-F238E27FC236}">
              <a16:creationId xmlns:a16="http://schemas.microsoft.com/office/drawing/2014/main" id="{BAEA5C43-161A-413C-AE0B-7002E7064B3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1" name="Shape 11">
          <a:extLst>
            <a:ext uri="{FF2B5EF4-FFF2-40B4-BE49-F238E27FC236}">
              <a16:creationId xmlns:a16="http://schemas.microsoft.com/office/drawing/2014/main" id="{E4C40564-9AB2-49A6-9820-19B6DF74B4B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2" name="Shape 11">
          <a:extLst>
            <a:ext uri="{FF2B5EF4-FFF2-40B4-BE49-F238E27FC236}">
              <a16:creationId xmlns:a16="http://schemas.microsoft.com/office/drawing/2014/main" id="{E888AF20-B0AD-4BCD-A853-3296588181F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3" name="Shape 11">
          <a:extLst>
            <a:ext uri="{FF2B5EF4-FFF2-40B4-BE49-F238E27FC236}">
              <a16:creationId xmlns:a16="http://schemas.microsoft.com/office/drawing/2014/main" id="{C180CAF7-CF11-4BE5-A646-4B00F9B0DA7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4" name="Shape 11">
          <a:extLst>
            <a:ext uri="{FF2B5EF4-FFF2-40B4-BE49-F238E27FC236}">
              <a16:creationId xmlns:a16="http://schemas.microsoft.com/office/drawing/2014/main" id="{1A7388D5-16A8-4110-84DA-1839D30AD19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05" name="Shape 10">
          <a:extLst>
            <a:ext uri="{FF2B5EF4-FFF2-40B4-BE49-F238E27FC236}">
              <a16:creationId xmlns:a16="http://schemas.microsoft.com/office/drawing/2014/main" id="{75DBE645-9913-446C-88C1-F0B787C9C0BC}"/>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6" name="Shape 11">
          <a:extLst>
            <a:ext uri="{FF2B5EF4-FFF2-40B4-BE49-F238E27FC236}">
              <a16:creationId xmlns:a16="http://schemas.microsoft.com/office/drawing/2014/main" id="{C68415A1-4AC2-4644-8F36-58FB4ECD61D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7" name="Shape 11">
          <a:extLst>
            <a:ext uri="{FF2B5EF4-FFF2-40B4-BE49-F238E27FC236}">
              <a16:creationId xmlns:a16="http://schemas.microsoft.com/office/drawing/2014/main" id="{CC4C6ECB-C161-4E00-BB33-D6138007597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8" name="Shape 11">
          <a:extLst>
            <a:ext uri="{FF2B5EF4-FFF2-40B4-BE49-F238E27FC236}">
              <a16:creationId xmlns:a16="http://schemas.microsoft.com/office/drawing/2014/main" id="{ABC98B46-731A-4511-BB0D-08AFAAEBE3D2}"/>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9" name="Shape 11">
          <a:extLst>
            <a:ext uri="{FF2B5EF4-FFF2-40B4-BE49-F238E27FC236}">
              <a16:creationId xmlns:a16="http://schemas.microsoft.com/office/drawing/2014/main" id="{55C272FC-D5A6-4D83-A72A-5CF31A9C10E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0" name="Shape 11">
          <a:extLst>
            <a:ext uri="{FF2B5EF4-FFF2-40B4-BE49-F238E27FC236}">
              <a16:creationId xmlns:a16="http://schemas.microsoft.com/office/drawing/2014/main" id="{4B7DAB3A-8E01-4630-927B-C0AA6363E87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1" name="Shape 10">
          <a:extLst>
            <a:ext uri="{FF2B5EF4-FFF2-40B4-BE49-F238E27FC236}">
              <a16:creationId xmlns:a16="http://schemas.microsoft.com/office/drawing/2014/main" id="{00B734CC-5493-48B3-AEBB-E3E18950532E}"/>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2" name="Shape 11">
          <a:extLst>
            <a:ext uri="{FF2B5EF4-FFF2-40B4-BE49-F238E27FC236}">
              <a16:creationId xmlns:a16="http://schemas.microsoft.com/office/drawing/2014/main" id="{ABDD3B3C-202B-4652-842D-875AB93718E4}"/>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3" name="Shape 13">
          <a:extLst>
            <a:ext uri="{FF2B5EF4-FFF2-40B4-BE49-F238E27FC236}">
              <a16:creationId xmlns:a16="http://schemas.microsoft.com/office/drawing/2014/main" id="{C336EC61-51D5-4FC2-B313-69D3FF091CDE}"/>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4" name="Shape 14">
          <a:extLst>
            <a:ext uri="{FF2B5EF4-FFF2-40B4-BE49-F238E27FC236}">
              <a16:creationId xmlns:a16="http://schemas.microsoft.com/office/drawing/2014/main" id="{BAE5175C-6C63-4EB7-8D65-6AB6E12897AF}"/>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5" name="Shape 10">
          <a:extLst>
            <a:ext uri="{FF2B5EF4-FFF2-40B4-BE49-F238E27FC236}">
              <a16:creationId xmlns:a16="http://schemas.microsoft.com/office/drawing/2014/main" id="{92012AAD-21F4-415B-AEBE-135734BDFB83}"/>
            </a:ext>
          </a:extLst>
        </xdr:cNvPr>
        <xdr:cNvSpPr txBox="1"/>
      </xdr:nvSpPr>
      <xdr:spPr>
        <a:xfrm>
          <a:off x="4124325" y="181356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6" name="Shape 14">
          <a:extLst>
            <a:ext uri="{FF2B5EF4-FFF2-40B4-BE49-F238E27FC236}">
              <a16:creationId xmlns:a16="http://schemas.microsoft.com/office/drawing/2014/main" id="{9A06E7E7-F479-405A-97F3-308B824695E0}"/>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7" name="Shape 11">
          <a:extLst>
            <a:ext uri="{FF2B5EF4-FFF2-40B4-BE49-F238E27FC236}">
              <a16:creationId xmlns:a16="http://schemas.microsoft.com/office/drawing/2014/main" id="{D98045D9-30AF-4369-8CF7-AF410026DCE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8" name="Shape 10">
          <a:extLst>
            <a:ext uri="{FF2B5EF4-FFF2-40B4-BE49-F238E27FC236}">
              <a16:creationId xmlns:a16="http://schemas.microsoft.com/office/drawing/2014/main" id="{ACB9390D-10CA-4690-B7BD-9AA0697CB54C}"/>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9" name="Shape 11">
          <a:extLst>
            <a:ext uri="{FF2B5EF4-FFF2-40B4-BE49-F238E27FC236}">
              <a16:creationId xmlns:a16="http://schemas.microsoft.com/office/drawing/2014/main" id="{F526136E-DEA0-445B-B077-A4955DEED66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0" name="Shape 11">
          <a:extLst>
            <a:ext uri="{FF2B5EF4-FFF2-40B4-BE49-F238E27FC236}">
              <a16:creationId xmlns:a16="http://schemas.microsoft.com/office/drawing/2014/main" id="{4B51427C-6D36-43F2-A20E-09097DF3210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1" name="Shape 11">
          <a:extLst>
            <a:ext uri="{FF2B5EF4-FFF2-40B4-BE49-F238E27FC236}">
              <a16:creationId xmlns:a16="http://schemas.microsoft.com/office/drawing/2014/main" id="{223E43D8-610C-4ABC-90F9-7A1708E0C3F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2" name="Shape 11">
          <a:extLst>
            <a:ext uri="{FF2B5EF4-FFF2-40B4-BE49-F238E27FC236}">
              <a16:creationId xmlns:a16="http://schemas.microsoft.com/office/drawing/2014/main" id="{EC1F6812-724B-4DC7-AF3C-9A79538B5CD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3" name="Shape 11">
          <a:extLst>
            <a:ext uri="{FF2B5EF4-FFF2-40B4-BE49-F238E27FC236}">
              <a16:creationId xmlns:a16="http://schemas.microsoft.com/office/drawing/2014/main" id="{54F5B477-94A8-4E89-9C82-C03377AC6F5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24" name="Shape 10">
          <a:extLst>
            <a:ext uri="{FF2B5EF4-FFF2-40B4-BE49-F238E27FC236}">
              <a16:creationId xmlns:a16="http://schemas.microsoft.com/office/drawing/2014/main" id="{8881670D-0832-4767-BFFF-8A5D20340DCF}"/>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5" name="Shape 11">
          <a:extLst>
            <a:ext uri="{FF2B5EF4-FFF2-40B4-BE49-F238E27FC236}">
              <a16:creationId xmlns:a16="http://schemas.microsoft.com/office/drawing/2014/main" id="{083DDD6A-CC1E-47B2-9F7B-A74DFA0E600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6" name="Shape 11">
          <a:extLst>
            <a:ext uri="{FF2B5EF4-FFF2-40B4-BE49-F238E27FC236}">
              <a16:creationId xmlns:a16="http://schemas.microsoft.com/office/drawing/2014/main" id="{80FBEB67-2509-4C49-882C-80E6BA42293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7" name="Shape 11">
          <a:extLst>
            <a:ext uri="{FF2B5EF4-FFF2-40B4-BE49-F238E27FC236}">
              <a16:creationId xmlns:a16="http://schemas.microsoft.com/office/drawing/2014/main" id="{877158CC-1235-4562-89F4-8FEA9AFC728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8" name="Shape 11">
          <a:extLst>
            <a:ext uri="{FF2B5EF4-FFF2-40B4-BE49-F238E27FC236}">
              <a16:creationId xmlns:a16="http://schemas.microsoft.com/office/drawing/2014/main" id="{E556151C-AC20-428E-8DC2-558742607F0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9" name="Shape 11">
          <a:extLst>
            <a:ext uri="{FF2B5EF4-FFF2-40B4-BE49-F238E27FC236}">
              <a16:creationId xmlns:a16="http://schemas.microsoft.com/office/drawing/2014/main" id="{1A082E39-0D7A-40EB-A65E-8F2EB137607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0" name="Shape 10">
          <a:extLst>
            <a:ext uri="{FF2B5EF4-FFF2-40B4-BE49-F238E27FC236}">
              <a16:creationId xmlns:a16="http://schemas.microsoft.com/office/drawing/2014/main" id="{24516308-ABAD-49D5-85C3-7E3EE4A67AE4}"/>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1" name="Shape 11">
          <a:extLst>
            <a:ext uri="{FF2B5EF4-FFF2-40B4-BE49-F238E27FC236}">
              <a16:creationId xmlns:a16="http://schemas.microsoft.com/office/drawing/2014/main" id="{D6480F71-E919-43C6-B61D-17F81D4F75E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2" name="Shape 11">
          <a:extLst>
            <a:ext uri="{FF2B5EF4-FFF2-40B4-BE49-F238E27FC236}">
              <a16:creationId xmlns:a16="http://schemas.microsoft.com/office/drawing/2014/main" id="{739F41DD-E412-4E99-A7E3-3B9D59FED92C}"/>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3" name="Shape 11">
          <a:extLst>
            <a:ext uri="{FF2B5EF4-FFF2-40B4-BE49-F238E27FC236}">
              <a16:creationId xmlns:a16="http://schemas.microsoft.com/office/drawing/2014/main" id="{F7611375-B864-492E-B39F-94DDDDDA2CE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4" name="Shape 11">
          <a:extLst>
            <a:ext uri="{FF2B5EF4-FFF2-40B4-BE49-F238E27FC236}">
              <a16:creationId xmlns:a16="http://schemas.microsoft.com/office/drawing/2014/main" id="{D8BDEA50-2DA1-4FB5-A4A7-0368B36DB49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5" name="Shape 11">
          <a:extLst>
            <a:ext uri="{FF2B5EF4-FFF2-40B4-BE49-F238E27FC236}">
              <a16:creationId xmlns:a16="http://schemas.microsoft.com/office/drawing/2014/main" id="{D6152064-80D9-4A27-98D1-31CC1DF87AA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6" name="Shape 10">
          <a:extLst>
            <a:ext uri="{FF2B5EF4-FFF2-40B4-BE49-F238E27FC236}">
              <a16:creationId xmlns:a16="http://schemas.microsoft.com/office/drawing/2014/main" id="{6DB145DD-8C84-4085-BB3F-59E6C58F1259}"/>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7" name="Shape 11">
          <a:extLst>
            <a:ext uri="{FF2B5EF4-FFF2-40B4-BE49-F238E27FC236}">
              <a16:creationId xmlns:a16="http://schemas.microsoft.com/office/drawing/2014/main" id="{B39C3B2A-AF5E-4EE7-97B0-440CF05A4E4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8" name="Shape 11">
          <a:extLst>
            <a:ext uri="{FF2B5EF4-FFF2-40B4-BE49-F238E27FC236}">
              <a16:creationId xmlns:a16="http://schemas.microsoft.com/office/drawing/2014/main" id="{789A8196-1767-4B48-91BF-42124255151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9" name="Shape 11">
          <a:extLst>
            <a:ext uri="{FF2B5EF4-FFF2-40B4-BE49-F238E27FC236}">
              <a16:creationId xmlns:a16="http://schemas.microsoft.com/office/drawing/2014/main" id="{985EBDF1-D843-4CC7-91C3-69C2048161F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0" name="Shape 11">
          <a:extLst>
            <a:ext uri="{FF2B5EF4-FFF2-40B4-BE49-F238E27FC236}">
              <a16:creationId xmlns:a16="http://schemas.microsoft.com/office/drawing/2014/main" id="{8C3CA22C-B96E-4EEB-80B2-E1B2AC8D90A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1" name="Shape 11">
          <a:extLst>
            <a:ext uri="{FF2B5EF4-FFF2-40B4-BE49-F238E27FC236}">
              <a16:creationId xmlns:a16="http://schemas.microsoft.com/office/drawing/2014/main" id="{ED9A9A0E-92ED-4E7A-9618-C213910A314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2" name="Shape 10">
          <a:extLst>
            <a:ext uri="{FF2B5EF4-FFF2-40B4-BE49-F238E27FC236}">
              <a16:creationId xmlns:a16="http://schemas.microsoft.com/office/drawing/2014/main" id="{554FBDB7-ABBA-4A7C-B86C-3E5651E8F2B2}"/>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3" name="Shape 11">
          <a:extLst>
            <a:ext uri="{FF2B5EF4-FFF2-40B4-BE49-F238E27FC236}">
              <a16:creationId xmlns:a16="http://schemas.microsoft.com/office/drawing/2014/main" id="{9AB8BAE3-F1DE-4462-AF79-1FE9CA80140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4" name="Shape 11">
          <a:extLst>
            <a:ext uri="{FF2B5EF4-FFF2-40B4-BE49-F238E27FC236}">
              <a16:creationId xmlns:a16="http://schemas.microsoft.com/office/drawing/2014/main" id="{6D50147A-B45F-4A2E-B3E3-83D883F72FD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5" name="Shape 11">
          <a:extLst>
            <a:ext uri="{FF2B5EF4-FFF2-40B4-BE49-F238E27FC236}">
              <a16:creationId xmlns:a16="http://schemas.microsoft.com/office/drawing/2014/main" id="{95438B4B-CC84-4B82-8212-8B6B8311F88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6" name="Shape 11">
          <a:extLst>
            <a:ext uri="{FF2B5EF4-FFF2-40B4-BE49-F238E27FC236}">
              <a16:creationId xmlns:a16="http://schemas.microsoft.com/office/drawing/2014/main" id="{114A8A48-147A-41EB-A27E-D4C34ABCB7E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7" name="Shape 11">
          <a:extLst>
            <a:ext uri="{FF2B5EF4-FFF2-40B4-BE49-F238E27FC236}">
              <a16:creationId xmlns:a16="http://schemas.microsoft.com/office/drawing/2014/main" id="{CD86E1A0-B32A-44CA-A1E8-44658FDF145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8" name="Shape 10">
          <a:extLst>
            <a:ext uri="{FF2B5EF4-FFF2-40B4-BE49-F238E27FC236}">
              <a16:creationId xmlns:a16="http://schemas.microsoft.com/office/drawing/2014/main" id="{959EABE5-731B-4A36-8286-32AF69B76C8E}"/>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9" name="Shape 11">
          <a:extLst>
            <a:ext uri="{FF2B5EF4-FFF2-40B4-BE49-F238E27FC236}">
              <a16:creationId xmlns:a16="http://schemas.microsoft.com/office/drawing/2014/main" id="{0E7BCADB-902D-4A60-92D0-9BD15E9D313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0" name="Shape 11">
          <a:extLst>
            <a:ext uri="{FF2B5EF4-FFF2-40B4-BE49-F238E27FC236}">
              <a16:creationId xmlns:a16="http://schemas.microsoft.com/office/drawing/2014/main" id="{7BF7CD81-A1C9-48E7-8574-4ED9072BC7F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1" name="Shape 11">
          <a:extLst>
            <a:ext uri="{FF2B5EF4-FFF2-40B4-BE49-F238E27FC236}">
              <a16:creationId xmlns:a16="http://schemas.microsoft.com/office/drawing/2014/main" id="{231C814D-9043-4140-9F75-F1DC35ED1CA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2" name="Shape 11">
          <a:extLst>
            <a:ext uri="{FF2B5EF4-FFF2-40B4-BE49-F238E27FC236}">
              <a16:creationId xmlns:a16="http://schemas.microsoft.com/office/drawing/2014/main" id="{1C0F2B2C-0A14-4021-988B-E495434FD2B5}"/>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3" name="Shape 11">
          <a:extLst>
            <a:ext uri="{FF2B5EF4-FFF2-40B4-BE49-F238E27FC236}">
              <a16:creationId xmlns:a16="http://schemas.microsoft.com/office/drawing/2014/main" id="{04F512C5-E540-4DAD-BEFD-561CEE51624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4" name="Shape 10">
          <a:extLst>
            <a:ext uri="{FF2B5EF4-FFF2-40B4-BE49-F238E27FC236}">
              <a16:creationId xmlns:a16="http://schemas.microsoft.com/office/drawing/2014/main" id="{53F1D97D-4D9E-46DE-8F02-5A427D4639A1}"/>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5" name="Shape 11">
          <a:extLst>
            <a:ext uri="{FF2B5EF4-FFF2-40B4-BE49-F238E27FC236}">
              <a16:creationId xmlns:a16="http://schemas.microsoft.com/office/drawing/2014/main" id="{FD57803F-8D7C-4315-9325-7ECAEB0EF1B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6" name="Shape 13">
          <a:extLst>
            <a:ext uri="{FF2B5EF4-FFF2-40B4-BE49-F238E27FC236}">
              <a16:creationId xmlns:a16="http://schemas.microsoft.com/office/drawing/2014/main" id="{984DB5B2-5E8F-40B9-9668-715BAFD9D2E4}"/>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7" name="Shape 14">
          <a:extLst>
            <a:ext uri="{FF2B5EF4-FFF2-40B4-BE49-F238E27FC236}">
              <a16:creationId xmlns:a16="http://schemas.microsoft.com/office/drawing/2014/main" id="{A850C969-5AD7-4E13-A9D6-FFFA16AEA0EE}"/>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8" name="Shape 10">
          <a:extLst>
            <a:ext uri="{FF2B5EF4-FFF2-40B4-BE49-F238E27FC236}">
              <a16:creationId xmlns:a16="http://schemas.microsoft.com/office/drawing/2014/main" id="{30CD3745-598E-4370-A471-F49D6BE7F5F0}"/>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9" name="Shape 12">
          <a:extLst>
            <a:ext uri="{FF2B5EF4-FFF2-40B4-BE49-F238E27FC236}">
              <a16:creationId xmlns:a16="http://schemas.microsoft.com/office/drawing/2014/main" id="{6BC9BC88-DFF8-407D-810F-C6377DA3B81C}"/>
            </a:ext>
          </a:extLst>
        </xdr:cNvPr>
        <xdr:cNvSpPr txBox="1"/>
      </xdr:nvSpPr>
      <xdr:spPr>
        <a:xfrm>
          <a:off x="0" y="179736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0" name="Shape 11">
          <a:extLst>
            <a:ext uri="{FF2B5EF4-FFF2-40B4-BE49-F238E27FC236}">
              <a16:creationId xmlns:a16="http://schemas.microsoft.com/office/drawing/2014/main" id="{6F65AC56-2178-4ADE-AAE6-C4A81433949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1" name="Shape 10">
          <a:extLst>
            <a:ext uri="{FF2B5EF4-FFF2-40B4-BE49-F238E27FC236}">
              <a16:creationId xmlns:a16="http://schemas.microsoft.com/office/drawing/2014/main" id="{E8455CDE-F00F-4462-8910-AA4431B7D46F}"/>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2" name="Shape 11">
          <a:extLst>
            <a:ext uri="{FF2B5EF4-FFF2-40B4-BE49-F238E27FC236}">
              <a16:creationId xmlns:a16="http://schemas.microsoft.com/office/drawing/2014/main" id="{BD2FBCD5-7B56-45AD-BE84-8E207645086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3" name="Shape 11">
          <a:extLst>
            <a:ext uri="{FF2B5EF4-FFF2-40B4-BE49-F238E27FC236}">
              <a16:creationId xmlns:a16="http://schemas.microsoft.com/office/drawing/2014/main" id="{4B86A403-94C2-4364-A617-7252E1C211D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4" name="Shape 11">
          <a:extLst>
            <a:ext uri="{FF2B5EF4-FFF2-40B4-BE49-F238E27FC236}">
              <a16:creationId xmlns:a16="http://schemas.microsoft.com/office/drawing/2014/main" id="{F4276563-D991-4D1A-B143-D72B6724977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5" name="Shape 11">
          <a:extLst>
            <a:ext uri="{FF2B5EF4-FFF2-40B4-BE49-F238E27FC236}">
              <a16:creationId xmlns:a16="http://schemas.microsoft.com/office/drawing/2014/main" id="{A7B46C7A-259B-44E0-8CAA-9E82A723F27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6" name="Shape 11">
          <a:extLst>
            <a:ext uri="{FF2B5EF4-FFF2-40B4-BE49-F238E27FC236}">
              <a16:creationId xmlns:a16="http://schemas.microsoft.com/office/drawing/2014/main" id="{ED704483-8BA7-47EF-A7E9-AC469099C77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7" name="Shape 10">
          <a:extLst>
            <a:ext uri="{FF2B5EF4-FFF2-40B4-BE49-F238E27FC236}">
              <a16:creationId xmlns:a16="http://schemas.microsoft.com/office/drawing/2014/main" id="{204C617E-D70E-4B39-96D9-E94D82089757}"/>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8" name="Shape 11">
          <a:extLst>
            <a:ext uri="{FF2B5EF4-FFF2-40B4-BE49-F238E27FC236}">
              <a16:creationId xmlns:a16="http://schemas.microsoft.com/office/drawing/2014/main" id="{9FBB090A-8107-43CF-A2BF-F1830249EA7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9" name="Shape 11">
          <a:extLst>
            <a:ext uri="{FF2B5EF4-FFF2-40B4-BE49-F238E27FC236}">
              <a16:creationId xmlns:a16="http://schemas.microsoft.com/office/drawing/2014/main" id="{C641D9D7-6F6C-478A-9C62-7970D1389F5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0" name="Shape 11">
          <a:extLst>
            <a:ext uri="{FF2B5EF4-FFF2-40B4-BE49-F238E27FC236}">
              <a16:creationId xmlns:a16="http://schemas.microsoft.com/office/drawing/2014/main" id="{C86C2AE8-3EA0-4D2B-8D9B-7C57C27ADB0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1" name="Shape 11">
          <a:extLst>
            <a:ext uri="{FF2B5EF4-FFF2-40B4-BE49-F238E27FC236}">
              <a16:creationId xmlns:a16="http://schemas.microsoft.com/office/drawing/2014/main" id="{94B459B6-CE32-4223-8B02-6EBB6C1F332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2" name="Shape 11">
          <a:extLst>
            <a:ext uri="{FF2B5EF4-FFF2-40B4-BE49-F238E27FC236}">
              <a16:creationId xmlns:a16="http://schemas.microsoft.com/office/drawing/2014/main" id="{3A3E86F8-9845-4EBF-B1F7-72D2802BB6F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3" name="Shape 10">
          <a:extLst>
            <a:ext uri="{FF2B5EF4-FFF2-40B4-BE49-F238E27FC236}">
              <a16:creationId xmlns:a16="http://schemas.microsoft.com/office/drawing/2014/main" id="{32884B79-091B-4041-AC9B-35AEB57A7D04}"/>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4" name="Shape 11">
          <a:extLst>
            <a:ext uri="{FF2B5EF4-FFF2-40B4-BE49-F238E27FC236}">
              <a16:creationId xmlns:a16="http://schemas.microsoft.com/office/drawing/2014/main" id="{B90B1A2F-078E-41E9-A3AC-576BC14035A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5" name="Shape 11">
          <a:extLst>
            <a:ext uri="{FF2B5EF4-FFF2-40B4-BE49-F238E27FC236}">
              <a16:creationId xmlns:a16="http://schemas.microsoft.com/office/drawing/2014/main" id="{C005D00D-BAE5-45BA-97CE-E95E7FB7DB7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6" name="Shape 11">
          <a:extLst>
            <a:ext uri="{FF2B5EF4-FFF2-40B4-BE49-F238E27FC236}">
              <a16:creationId xmlns:a16="http://schemas.microsoft.com/office/drawing/2014/main" id="{CD431B02-2513-4CF2-A731-74340EC86AD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7" name="Shape 11">
          <a:extLst>
            <a:ext uri="{FF2B5EF4-FFF2-40B4-BE49-F238E27FC236}">
              <a16:creationId xmlns:a16="http://schemas.microsoft.com/office/drawing/2014/main" id="{76AE802E-6D99-4CD1-9089-6C05A0CD115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8" name="Shape 11">
          <a:extLst>
            <a:ext uri="{FF2B5EF4-FFF2-40B4-BE49-F238E27FC236}">
              <a16:creationId xmlns:a16="http://schemas.microsoft.com/office/drawing/2014/main" id="{076E8861-7654-4B74-98E6-AD3C34E8A57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9" name="Shape 10">
          <a:extLst>
            <a:ext uri="{FF2B5EF4-FFF2-40B4-BE49-F238E27FC236}">
              <a16:creationId xmlns:a16="http://schemas.microsoft.com/office/drawing/2014/main" id="{0F100567-A7C3-4473-A390-7A9948D86461}"/>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0" name="Shape 11">
          <a:extLst>
            <a:ext uri="{FF2B5EF4-FFF2-40B4-BE49-F238E27FC236}">
              <a16:creationId xmlns:a16="http://schemas.microsoft.com/office/drawing/2014/main" id="{5941EAA9-A63F-4C9F-9559-DF43771DF45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1" name="Shape 11">
          <a:extLst>
            <a:ext uri="{FF2B5EF4-FFF2-40B4-BE49-F238E27FC236}">
              <a16:creationId xmlns:a16="http://schemas.microsoft.com/office/drawing/2014/main" id="{82350BD5-736F-4B03-8992-162DA258A6E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2" name="Shape 11">
          <a:extLst>
            <a:ext uri="{FF2B5EF4-FFF2-40B4-BE49-F238E27FC236}">
              <a16:creationId xmlns:a16="http://schemas.microsoft.com/office/drawing/2014/main" id="{3E65A6BB-292F-4364-9BB4-DDBC4FBBCAF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3" name="Shape 11">
          <a:extLst>
            <a:ext uri="{FF2B5EF4-FFF2-40B4-BE49-F238E27FC236}">
              <a16:creationId xmlns:a16="http://schemas.microsoft.com/office/drawing/2014/main" id="{C3CF473C-FF41-45D3-9B96-0E90A2F436B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4" name="Shape 11">
          <a:extLst>
            <a:ext uri="{FF2B5EF4-FFF2-40B4-BE49-F238E27FC236}">
              <a16:creationId xmlns:a16="http://schemas.microsoft.com/office/drawing/2014/main" id="{D5403C1F-2DF6-4271-AED6-801D14BE8AE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85" name="Shape 10">
          <a:extLst>
            <a:ext uri="{FF2B5EF4-FFF2-40B4-BE49-F238E27FC236}">
              <a16:creationId xmlns:a16="http://schemas.microsoft.com/office/drawing/2014/main" id="{F3F5CA79-0CA4-4C83-988F-BFAF66FDE2AE}"/>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6" name="Shape 11">
          <a:extLst>
            <a:ext uri="{FF2B5EF4-FFF2-40B4-BE49-F238E27FC236}">
              <a16:creationId xmlns:a16="http://schemas.microsoft.com/office/drawing/2014/main" id="{64A49A3B-1CD7-483B-B34E-C8BF01335B6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7" name="Shape 11">
          <a:extLst>
            <a:ext uri="{FF2B5EF4-FFF2-40B4-BE49-F238E27FC236}">
              <a16:creationId xmlns:a16="http://schemas.microsoft.com/office/drawing/2014/main" id="{1998E654-67CC-4F61-8FE6-4AAD6765DE7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8" name="Shape 11">
          <a:extLst>
            <a:ext uri="{FF2B5EF4-FFF2-40B4-BE49-F238E27FC236}">
              <a16:creationId xmlns:a16="http://schemas.microsoft.com/office/drawing/2014/main" id="{3CC9A91B-2CC6-44C0-8DF6-316C03E17BB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9" name="Shape 11">
          <a:extLst>
            <a:ext uri="{FF2B5EF4-FFF2-40B4-BE49-F238E27FC236}">
              <a16:creationId xmlns:a16="http://schemas.microsoft.com/office/drawing/2014/main" id="{13783163-FACC-4953-8EA6-046DF1E084F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0" name="Shape 11">
          <a:extLst>
            <a:ext uri="{FF2B5EF4-FFF2-40B4-BE49-F238E27FC236}">
              <a16:creationId xmlns:a16="http://schemas.microsoft.com/office/drawing/2014/main" id="{FA5FA2CA-33C6-4456-9239-88BEA5722C8C}"/>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1" name="Shape 10">
          <a:extLst>
            <a:ext uri="{FF2B5EF4-FFF2-40B4-BE49-F238E27FC236}">
              <a16:creationId xmlns:a16="http://schemas.microsoft.com/office/drawing/2014/main" id="{2D4C38F5-9313-4053-AB9C-23FE197BA13E}"/>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2" name="Shape 11">
          <a:extLst>
            <a:ext uri="{FF2B5EF4-FFF2-40B4-BE49-F238E27FC236}">
              <a16:creationId xmlns:a16="http://schemas.microsoft.com/office/drawing/2014/main" id="{AC750F98-C983-4498-9FC3-552152D0DC1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3" name="Shape 11">
          <a:extLst>
            <a:ext uri="{FF2B5EF4-FFF2-40B4-BE49-F238E27FC236}">
              <a16:creationId xmlns:a16="http://schemas.microsoft.com/office/drawing/2014/main" id="{C0256FEB-7ABB-4CD4-A323-6BDB3B57003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4" name="Shape 11">
          <a:extLst>
            <a:ext uri="{FF2B5EF4-FFF2-40B4-BE49-F238E27FC236}">
              <a16:creationId xmlns:a16="http://schemas.microsoft.com/office/drawing/2014/main" id="{AE84BD10-6B5A-422A-9276-5561796B649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5" name="Shape 11">
          <a:extLst>
            <a:ext uri="{FF2B5EF4-FFF2-40B4-BE49-F238E27FC236}">
              <a16:creationId xmlns:a16="http://schemas.microsoft.com/office/drawing/2014/main" id="{734674CF-C673-4CC1-A80A-FFAFFA26969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6" name="Shape 11">
          <a:extLst>
            <a:ext uri="{FF2B5EF4-FFF2-40B4-BE49-F238E27FC236}">
              <a16:creationId xmlns:a16="http://schemas.microsoft.com/office/drawing/2014/main" id="{AA503E19-E91E-4881-9997-C198D4EF7657}"/>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7" name="Shape 10">
          <a:extLst>
            <a:ext uri="{FF2B5EF4-FFF2-40B4-BE49-F238E27FC236}">
              <a16:creationId xmlns:a16="http://schemas.microsoft.com/office/drawing/2014/main" id="{B902795B-8C0A-4F95-9044-9967CCC0BC4D}"/>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8" name="Shape 11">
          <a:extLst>
            <a:ext uri="{FF2B5EF4-FFF2-40B4-BE49-F238E27FC236}">
              <a16:creationId xmlns:a16="http://schemas.microsoft.com/office/drawing/2014/main" id="{C88C070B-C80D-4A17-9BC5-A543002DB28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9" name="Shape 13">
          <a:extLst>
            <a:ext uri="{FF2B5EF4-FFF2-40B4-BE49-F238E27FC236}">
              <a16:creationId xmlns:a16="http://schemas.microsoft.com/office/drawing/2014/main" id="{CB246A22-EFB9-4800-B962-75DA2A29E7B9}"/>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0" name="Shape 14">
          <a:extLst>
            <a:ext uri="{FF2B5EF4-FFF2-40B4-BE49-F238E27FC236}">
              <a16:creationId xmlns:a16="http://schemas.microsoft.com/office/drawing/2014/main" id="{69FD7368-4758-43E4-883F-0D9A77147494}"/>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1" name="Shape 10">
          <a:extLst>
            <a:ext uri="{FF2B5EF4-FFF2-40B4-BE49-F238E27FC236}">
              <a16:creationId xmlns:a16="http://schemas.microsoft.com/office/drawing/2014/main" id="{18BB7070-8746-4B5B-9BB6-5C1095C4995D}"/>
            </a:ext>
          </a:extLst>
        </xdr:cNvPr>
        <xdr:cNvSpPr txBox="1"/>
      </xdr:nvSpPr>
      <xdr:spPr>
        <a:xfrm>
          <a:off x="4124325" y="270414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2" name="Shape 14">
          <a:extLst>
            <a:ext uri="{FF2B5EF4-FFF2-40B4-BE49-F238E27FC236}">
              <a16:creationId xmlns:a16="http://schemas.microsoft.com/office/drawing/2014/main" id="{4B783CCE-8E12-464C-AD3D-E1238CF51AFD}"/>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3" name="Shape 11">
          <a:extLst>
            <a:ext uri="{FF2B5EF4-FFF2-40B4-BE49-F238E27FC236}">
              <a16:creationId xmlns:a16="http://schemas.microsoft.com/office/drawing/2014/main" id="{9ED0CCDA-7401-4B77-9874-73F01A73CF2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4" name="Shape 10">
          <a:extLst>
            <a:ext uri="{FF2B5EF4-FFF2-40B4-BE49-F238E27FC236}">
              <a16:creationId xmlns:a16="http://schemas.microsoft.com/office/drawing/2014/main" id="{CC2DAC35-49E9-4036-8BAA-7942AC475CED}"/>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5" name="Shape 11">
          <a:extLst>
            <a:ext uri="{FF2B5EF4-FFF2-40B4-BE49-F238E27FC236}">
              <a16:creationId xmlns:a16="http://schemas.microsoft.com/office/drawing/2014/main" id="{9DD8BAC9-2791-4CD4-840D-F2DE60C3EF2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6" name="Shape 11">
          <a:extLst>
            <a:ext uri="{FF2B5EF4-FFF2-40B4-BE49-F238E27FC236}">
              <a16:creationId xmlns:a16="http://schemas.microsoft.com/office/drawing/2014/main" id="{2BF34A4E-F1BE-46B6-9E02-EFA933BB7F9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7" name="Shape 11">
          <a:extLst>
            <a:ext uri="{FF2B5EF4-FFF2-40B4-BE49-F238E27FC236}">
              <a16:creationId xmlns:a16="http://schemas.microsoft.com/office/drawing/2014/main" id="{DC52A453-2C9D-4146-9AC0-F1473D87FB0C}"/>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8" name="Shape 11">
          <a:extLst>
            <a:ext uri="{FF2B5EF4-FFF2-40B4-BE49-F238E27FC236}">
              <a16:creationId xmlns:a16="http://schemas.microsoft.com/office/drawing/2014/main" id="{6406917F-9B66-4969-9E50-137F9194020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9" name="Shape 11">
          <a:extLst>
            <a:ext uri="{FF2B5EF4-FFF2-40B4-BE49-F238E27FC236}">
              <a16:creationId xmlns:a16="http://schemas.microsoft.com/office/drawing/2014/main" id="{DEA00C43-FCF4-4162-8E03-D3189E8E432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0" name="Shape 10">
          <a:extLst>
            <a:ext uri="{FF2B5EF4-FFF2-40B4-BE49-F238E27FC236}">
              <a16:creationId xmlns:a16="http://schemas.microsoft.com/office/drawing/2014/main" id="{67998734-60E9-453A-A8EB-0A0F0E953265}"/>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1" name="Shape 11">
          <a:extLst>
            <a:ext uri="{FF2B5EF4-FFF2-40B4-BE49-F238E27FC236}">
              <a16:creationId xmlns:a16="http://schemas.microsoft.com/office/drawing/2014/main" id="{2B76E401-1C26-44B9-9F71-095E9A4BC58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2" name="Shape 11">
          <a:extLst>
            <a:ext uri="{FF2B5EF4-FFF2-40B4-BE49-F238E27FC236}">
              <a16:creationId xmlns:a16="http://schemas.microsoft.com/office/drawing/2014/main" id="{08E6A2DA-2010-405D-8544-F3BB4B82E18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3" name="Shape 11">
          <a:extLst>
            <a:ext uri="{FF2B5EF4-FFF2-40B4-BE49-F238E27FC236}">
              <a16:creationId xmlns:a16="http://schemas.microsoft.com/office/drawing/2014/main" id="{9F8D265C-A8C6-4FFA-A0D4-41B2E6CC1E1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4" name="Shape 11">
          <a:extLst>
            <a:ext uri="{FF2B5EF4-FFF2-40B4-BE49-F238E27FC236}">
              <a16:creationId xmlns:a16="http://schemas.microsoft.com/office/drawing/2014/main" id="{F91E319E-1478-4739-A073-C4F1644E755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5" name="Shape 11">
          <a:extLst>
            <a:ext uri="{FF2B5EF4-FFF2-40B4-BE49-F238E27FC236}">
              <a16:creationId xmlns:a16="http://schemas.microsoft.com/office/drawing/2014/main" id="{89E6BBA0-F578-4B1B-A661-5E63862EC4B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6" name="Shape 10">
          <a:extLst>
            <a:ext uri="{FF2B5EF4-FFF2-40B4-BE49-F238E27FC236}">
              <a16:creationId xmlns:a16="http://schemas.microsoft.com/office/drawing/2014/main" id="{E17A12F5-4EDE-4557-A1E9-B195441BA982}"/>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7" name="Shape 11">
          <a:extLst>
            <a:ext uri="{FF2B5EF4-FFF2-40B4-BE49-F238E27FC236}">
              <a16:creationId xmlns:a16="http://schemas.microsoft.com/office/drawing/2014/main" id="{C7B2F1C0-4E6A-4E52-B5F6-8895FF45ED8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8" name="Shape 11">
          <a:extLst>
            <a:ext uri="{FF2B5EF4-FFF2-40B4-BE49-F238E27FC236}">
              <a16:creationId xmlns:a16="http://schemas.microsoft.com/office/drawing/2014/main" id="{B90D77D5-37CA-4F75-83F3-C0CC7F5D1DA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9" name="Shape 11">
          <a:extLst>
            <a:ext uri="{FF2B5EF4-FFF2-40B4-BE49-F238E27FC236}">
              <a16:creationId xmlns:a16="http://schemas.microsoft.com/office/drawing/2014/main" id="{0A38103F-7E00-4C73-A742-E135FE32C6B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0" name="Shape 11">
          <a:extLst>
            <a:ext uri="{FF2B5EF4-FFF2-40B4-BE49-F238E27FC236}">
              <a16:creationId xmlns:a16="http://schemas.microsoft.com/office/drawing/2014/main" id="{F8826174-52B2-4EB0-B92E-4EE13343FC9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1" name="Shape 11">
          <a:extLst>
            <a:ext uri="{FF2B5EF4-FFF2-40B4-BE49-F238E27FC236}">
              <a16:creationId xmlns:a16="http://schemas.microsoft.com/office/drawing/2014/main" id="{A241B6CC-1096-4867-94BB-FCB4F6762CB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2" name="Shape 10">
          <a:extLst>
            <a:ext uri="{FF2B5EF4-FFF2-40B4-BE49-F238E27FC236}">
              <a16:creationId xmlns:a16="http://schemas.microsoft.com/office/drawing/2014/main" id="{0EC455D0-C825-4293-8B10-3F0DDBB3B0CF}"/>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3" name="Shape 11">
          <a:extLst>
            <a:ext uri="{FF2B5EF4-FFF2-40B4-BE49-F238E27FC236}">
              <a16:creationId xmlns:a16="http://schemas.microsoft.com/office/drawing/2014/main" id="{78B13AE2-4FC4-42A3-8FF5-B45616181BD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4" name="Shape 11">
          <a:extLst>
            <a:ext uri="{FF2B5EF4-FFF2-40B4-BE49-F238E27FC236}">
              <a16:creationId xmlns:a16="http://schemas.microsoft.com/office/drawing/2014/main" id="{0C2061A8-D421-44CB-A6F7-ACE35CAAB1D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5" name="Shape 11">
          <a:extLst>
            <a:ext uri="{FF2B5EF4-FFF2-40B4-BE49-F238E27FC236}">
              <a16:creationId xmlns:a16="http://schemas.microsoft.com/office/drawing/2014/main" id="{D558666A-A833-4FD2-A7D6-01A2AE98C11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6" name="Shape 11">
          <a:extLst>
            <a:ext uri="{FF2B5EF4-FFF2-40B4-BE49-F238E27FC236}">
              <a16:creationId xmlns:a16="http://schemas.microsoft.com/office/drawing/2014/main" id="{2F741C69-ED89-46DB-8E48-D59D39CEFB5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7" name="Shape 11">
          <a:extLst>
            <a:ext uri="{FF2B5EF4-FFF2-40B4-BE49-F238E27FC236}">
              <a16:creationId xmlns:a16="http://schemas.microsoft.com/office/drawing/2014/main" id="{9BA38DF2-9F28-4E03-BA14-9A8E974208F9}"/>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8" name="Shape 10">
          <a:extLst>
            <a:ext uri="{FF2B5EF4-FFF2-40B4-BE49-F238E27FC236}">
              <a16:creationId xmlns:a16="http://schemas.microsoft.com/office/drawing/2014/main" id="{3A55BC1D-642A-45FC-94CE-E5AB4C2B6BC9}"/>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9" name="Shape 11">
          <a:extLst>
            <a:ext uri="{FF2B5EF4-FFF2-40B4-BE49-F238E27FC236}">
              <a16:creationId xmlns:a16="http://schemas.microsoft.com/office/drawing/2014/main" id="{920BFCAA-7384-4061-833B-A56D67B880A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0" name="Shape 11">
          <a:extLst>
            <a:ext uri="{FF2B5EF4-FFF2-40B4-BE49-F238E27FC236}">
              <a16:creationId xmlns:a16="http://schemas.microsoft.com/office/drawing/2014/main" id="{CF8C8C23-A402-4CB0-A6E8-B2DBBD2A77C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1" name="Shape 11">
          <a:extLst>
            <a:ext uri="{FF2B5EF4-FFF2-40B4-BE49-F238E27FC236}">
              <a16:creationId xmlns:a16="http://schemas.microsoft.com/office/drawing/2014/main" id="{7EAE7E15-7E59-442F-A326-7E58E902467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2" name="Shape 11">
          <a:extLst>
            <a:ext uri="{FF2B5EF4-FFF2-40B4-BE49-F238E27FC236}">
              <a16:creationId xmlns:a16="http://schemas.microsoft.com/office/drawing/2014/main" id="{5EE80819-7534-4035-B535-BC2FD5538F2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3" name="Shape 11">
          <a:extLst>
            <a:ext uri="{FF2B5EF4-FFF2-40B4-BE49-F238E27FC236}">
              <a16:creationId xmlns:a16="http://schemas.microsoft.com/office/drawing/2014/main" id="{EA22E207-D673-42EE-A419-EFF2052D4F4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34" name="Shape 10">
          <a:extLst>
            <a:ext uri="{FF2B5EF4-FFF2-40B4-BE49-F238E27FC236}">
              <a16:creationId xmlns:a16="http://schemas.microsoft.com/office/drawing/2014/main" id="{2B18D4BD-5D4E-41A3-AF7C-85FFA241282F}"/>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5" name="Shape 11">
          <a:extLst>
            <a:ext uri="{FF2B5EF4-FFF2-40B4-BE49-F238E27FC236}">
              <a16:creationId xmlns:a16="http://schemas.microsoft.com/office/drawing/2014/main" id="{6AE4DEFB-8934-4F58-93CB-919898DDF54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6" name="Shape 11">
          <a:extLst>
            <a:ext uri="{FF2B5EF4-FFF2-40B4-BE49-F238E27FC236}">
              <a16:creationId xmlns:a16="http://schemas.microsoft.com/office/drawing/2014/main" id="{FDC1A62B-AA06-4908-A6C2-3673E4A8539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7" name="Shape 11">
          <a:extLst>
            <a:ext uri="{FF2B5EF4-FFF2-40B4-BE49-F238E27FC236}">
              <a16:creationId xmlns:a16="http://schemas.microsoft.com/office/drawing/2014/main" id="{1BEE34A3-F040-459F-A9AA-0B8F29C73C0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8" name="Shape 11">
          <a:extLst>
            <a:ext uri="{FF2B5EF4-FFF2-40B4-BE49-F238E27FC236}">
              <a16:creationId xmlns:a16="http://schemas.microsoft.com/office/drawing/2014/main" id="{9A0B5E3A-C92B-41F9-BADC-8FA4AAD1B6B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9" name="Shape 11">
          <a:extLst>
            <a:ext uri="{FF2B5EF4-FFF2-40B4-BE49-F238E27FC236}">
              <a16:creationId xmlns:a16="http://schemas.microsoft.com/office/drawing/2014/main" id="{3EFA92D8-10BF-49A0-AC36-BABC3C22C3E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0" name="Shape 10">
          <a:extLst>
            <a:ext uri="{FF2B5EF4-FFF2-40B4-BE49-F238E27FC236}">
              <a16:creationId xmlns:a16="http://schemas.microsoft.com/office/drawing/2014/main" id="{01464AB2-F414-4133-A4F4-3FBE256E0204}"/>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1" name="Shape 11">
          <a:extLst>
            <a:ext uri="{FF2B5EF4-FFF2-40B4-BE49-F238E27FC236}">
              <a16:creationId xmlns:a16="http://schemas.microsoft.com/office/drawing/2014/main" id="{F4DF6E7B-38C2-4F51-B5C4-E52FC300A6E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2" name="Shape 13">
          <a:extLst>
            <a:ext uri="{FF2B5EF4-FFF2-40B4-BE49-F238E27FC236}">
              <a16:creationId xmlns:a16="http://schemas.microsoft.com/office/drawing/2014/main" id="{2E52DF4F-138F-47E0-99BC-12A37139BE8A}"/>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3" name="Shape 14">
          <a:extLst>
            <a:ext uri="{FF2B5EF4-FFF2-40B4-BE49-F238E27FC236}">
              <a16:creationId xmlns:a16="http://schemas.microsoft.com/office/drawing/2014/main" id="{4A8F56C1-E64D-43A4-A677-8FCBCFAF5114}"/>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4" name="Shape 10">
          <a:extLst>
            <a:ext uri="{FF2B5EF4-FFF2-40B4-BE49-F238E27FC236}">
              <a16:creationId xmlns:a16="http://schemas.microsoft.com/office/drawing/2014/main" id="{807A7B45-E947-4669-8BDB-16FA258E008B}"/>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5" name="Shape 12">
          <a:extLst>
            <a:ext uri="{FF2B5EF4-FFF2-40B4-BE49-F238E27FC236}">
              <a16:creationId xmlns:a16="http://schemas.microsoft.com/office/drawing/2014/main" id="{C1AD92A6-E25C-4F1A-B695-124CC6960F20}"/>
            </a:ext>
          </a:extLst>
        </xdr:cNvPr>
        <xdr:cNvSpPr txBox="1"/>
      </xdr:nvSpPr>
      <xdr:spPr>
        <a:xfrm>
          <a:off x="0" y="268795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6" name="Shape 11">
          <a:extLst>
            <a:ext uri="{FF2B5EF4-FFF2-40B4-BE49-F238E27FC236}">
              <a16:creationId xmlns:a16="http://schemas.microsoft.com/office/drawing/2014/main" id="{E7B051DB-DBB8-4EF3-B04D-C5CB1E72CE8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7" name="Shape 10">
          <a:extLst>
            <a:ext uri="{FF2B5EF4-FFF2-40B4-BE49-F238E27FC236}">
              <a16:creationId xmlns:a16="http://schemas.microsoft.com/office/drawing/2014/main" id="{C73C5EF9-607A-43FD-B1B4-C71CAFA7ED05}"/>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8" name="Shape 11">
          <a:extLst>
            <a:ext uri="{FF2B5EF4-FFF2-40B4-BE49-F238E27FC236}">
              <a16:creationId xmlns:a16="http://schemas.microsoft.com/office/drawing/2014/main" id="{575FBF6B-54EF-4346-B70E-0ED078546FC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9" name="Shape 11">
          <a:extLst>
            <a:ext uri="{FF2B5EF4-FFF2-40B4-BE49-F238E27FC236}">
              <a16:creationId xmlns:a16="http://schemas.microsoft.com/office/drawing/2014/main" id="{AE3E6298-D5BA-4347-809A-D400141059D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0" name="Shape 11">
          <a:extLst>
            <a:ext uri="{FF2B5EF4-FFF2-40B4-BE49-F238E27FC236}">
              <a16:creationId xmlns:a16="http://schemas.microsoft.com/office/drawing/2014/main" id="{A2436F32-1C27-4136-B2A2-D45A32B8397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1" name="Shape 11">
          <a:extLst>
            <a:ext uri="{FF2B5EF4-FFF2-40B4-BE49-F238E27FC236}">
              <a16:creationId xmlns:a16="http://schemas.microsoft.com/office/drawing/2014/main" id="{82C84A9B-1589-41D8-A32B-2CC9F13304B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2" name="Shape 11">
          <a:extLst>
            <a:ext uri="{FF2B5EF4-FFF2-40B4-BE49-F238E27FC236}">
              <a16:creationId xmlns:a16="http://schemas.microsoft.com/office/drawing/2014/main" id="{AD9A8943-2EF4-433D-B322-9F3F7E0FCED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3" name="Shape 10">
          <a:extLst>
            <a:ext uri="{FF2B5EF4-FFF2-40B4-BE49-F238E27FC236}">
              <a16:creationId xmlns:a16="http://schemas.microsoft.com/office/drawing/2014/main" id="{A87038A0-7996-49E9-87B2-DD9567853BA0}"/>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4" name="Shape 11">
          <a:extLst>
            <a:ext uri="{FF2B5EF4-FFF2-40B4-BE49-F238E27FC236}">
              <a16:creationId xmlns:a16="http://schemas.microsoft.com/office/drawing/2014/main" id="{4D9926A2-5AAE-455C-BA9C-AAFBC169665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5" name="Shape 11">
          <a:extLst>
            <a:ext uri="{FF2B5EF4-FFF2-40B4-BE49-F238E27FC236}">
              <a16:creationId xmlns:a16="http://schemas.microsoft.com/office/drawing/2014/main" id="{81AD1DA0-4148-4970-A81B-2D7A8945A1E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6" name="Shape 11">
          <a:extLst>
            <a:ext uri="{FF2B5EF4-FFF2-40B4-BE49-F238E27FC236}">
              <a16:creationId xmlns:a16="http://schemas.microsoft.com/office/drawing/2014/main" id="{A73FCC2B-C9A7-4552-8E65-C4A0CC003BB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7" name="Shape 11">
          <a:extLst>
            <a:ext uri="{FF2B5EF4-FFF2-40B4-BE49-F238E27FC236}">
              <a16:creationId xmlns:a16="http://schemas.microsoft.com/office/drawing/2014/main" id="{A7D328F3-791A-4A51-A70B-44BC32AA7331}"/>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8" name="Shape 11">
          <a:extLst>
            <a:ext uri="{FF2B5EF4-FFF2-40B4-BE49-F238E27FC236}">
              <a16:creationId xmlns:a16="http://schemas.microsoft.com/office/drawing/2014/main" id="{E374124A-11A9-4833-B708-60EC35CFA6A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9" name="Shape 10">
          <a:extLst>
            <a:ext uri="{FF2B5EF4-FFF2-40B4-BE49-F238E27FC236}">
              <a16:creationId xmlns:a16="http://schemas.microsoft.com/office/drawing/2014/main" id="{A2387C8C-7FA7-431D-9C80-17AC3AE59539}"/>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0" name="Shape 11">
          <a:extLst>
            <a:ext uri="{FF2B5EF4-FFF2-40B4-BE49-F238E27FC236}">
              <a16:creationId xmlns:a16="http://schemas.microsoft.com/office/drawing/2014/main" id="{17BB4184-4520-4AA4-9F62-32E4961AA3D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1" name="Shape 11">
          <a:extLst>
            <a:ext uri="{FF2B5EF4-FFF2-40B4-BE49-F238E27FC236}">
              <a16:creationId xmlns:a16="http://schemas.microsoft.com/office/drawing/2014/main" id="{73C3C835-AD19-4D7D-BE96-E804A86A7FD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2" name="Shape 11">
          <a:extLst>
            <a:ext uri="{FF2B5EF4-FFF2-40B4-BE49-F238E27FC236}">
              <a16:creationId xmlns:a16="http://schemas.microsoft.com/office/drawing/2014/main" id="{52C31C0B-825D-4B1E-A775-01BC8645D2E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3" name="Shape 11">
          <a:extLst>
            <a:ext uri="{FF2B5EF4-FFF2-40B4-BE49-F238E27FC236}">
              <a16:creationId xmlns:a16="http://schemas.microsoft.com/office/drawing/2014/main" id="{15E92AEC-1BF3-4B32-97D9-B45A836AAEA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4" name="Shape 11">
          <a:extLst>
            <a:ext uri="{FF2B5EF4-FFF2-40B4-BE49-F238E27FC236}">
              <a16:creationId xmlns:a16="http://schemas.microsoft.com/office/drawing/2014/main" id="{970BDF56-21C9-4CC8-85B7-1AA19AA2A6F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65" name="Shape 10">
          <a:extLst>
            <a:ext uri="{FF2B5EF4-FFF2-40B4-BE49-F238E27FC236}">
              <a16:creationId xmlns:a16="http://schemas.microsoft.com/office/drawing/2014/main" id="{D20AA60A-0478-40BE-9627-4D1FEB3A75F4}"/>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6" name="Shape 11">
          <a:extLst>
            <a:ext uri="{FF2B5EF4-FFF2-40B4-BE49-F238E27FC236}">
              <a16:creationId xmlns:a16="http://schemas.microsoft.com/office/drawing/2014/main" id="{E5CCD8B3-2242-4933-9E16-C7D67567897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7" name="Shape 11">
          <a:extLst>
            <a:ext uri="{FF2B5EF4-FFF2-40B4-BE49-F238E27FC236}">
              <a16:creationId xmlns:a16="http://schemas.microsoft.com/office/drawing/2014/main" id="{95376506-1BEF-4DFE-BD3E-1EAFF4287F9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8" name="Shape 11">
          <a:extLst>
            <a:ext uri="{FF2B5EF4-FFF2-40B4-BE49-F238E27FC236}">
              <a16:creationId xmlns:a16="http://schemas.microsoft.com/office/drawing/2014/main" id="{996211D4-BD30-4691-BA99-DDBE52B3FE8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9" name="Shape 11">
          <a:extLst>
            <a:ext uri="{FF2B5EF4-FFF2-40B4-BE49-F238E27FC236}">
              <a16:creationId xmlns:a16="http://schemas.microsoft.com/office/drawing/2014/main" id="{D519B89E-75DB-4E29-942A-49E91F508FD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0" name="Shape 11">
          <a:extLst>
            <a:ext uri="{FF2B5EF4-FFF2-40B4-BE49-F238E27FC236}">
              <a16:creationId xmlns:a16="http://schemas.microsoft.com/office/drawing/2014/main" id="{924C9494-5FD2-4185-9E62-ADAE52D7ADD1}"/>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1" name="Shape 10">
          <a:extLst>
            <a:ext uri="{FF2B5EF4-FFF2-40B4-BE49-F238E27FC236}">
              <a16:creationId xmlns:a16="http://schemas.microsoft.com/office/drawing/2014/main" id="{E9B243B3-169E-4D95-9B03-FECB72985AE8}"/>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2" name="Shape 11">
          <a:extLst>
            <a:ext uri="{FF2B5EF4-FFF2-40B4-BE49-F238E27FC236}">
              <a16:creationId xmlns:a16="http://schemas.microsoft.com/office/drawing/2014/main" id="{4DBB54F7-3326-46B4-87CC-1E9BCF16738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3" name="Shape 11">
          <a:extLst>
            <a:ext uri="{FF2B5EF4-FFF2-40B4-BE49-F238E27FC236}">
              <a16:creationId xmlns:a16="http://schemas.microsoft.com/office/drawing/2014/main" id="{EF9FE66E-FDED-43E7-BCDA-4E79D17E0A9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4" name="Shape 11">
          <a:extLst>
            <a:ext uri="{FF2B5EF4-FFF2-40B4-BE49-F238E27FC236}">
              <a16:creationId xmlns:a16="http://schemas.microsoft.com/office/drawing/2014/main" id="{AFBD646D-D5FC-486E-A2D2-879D4DBDC5E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5" name="Shape 11">
          <a:extLst>
            <a:ext uri="{FF2B5EF4-FFF2-40B4-BE49-F238E27FC236}">
              <a16:creationId xmlns:a16="http://schemas.microsoft.com/office/drawing/2014/main" id="{113BAC93-E021-44D4-AC47-D137B5516DF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6" name="Shape 11">
          <a:extLst>
            <a:ext uri="{FF2B5EF4-FFF2-40B4-BE49-F238E27FC236}">
              <a16:creationId xmlns:a16="http://schemas.microsoft.com/office/drawing/2014/main" id="{D2A5F87D-CA33-4308-ACEB-17DF50EA62F6}"/>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7" name="Shape 10">
          <a:extLst>
            <a:ext uri="{FF2B5EF4-FFF2-40B4-BE49-F238E27FC236}">
              <a16:creationId xmlns:a16="http://schemas.microsoft.com/office/drawing/2014/main" id="{91FBC034-CB85-4151-9FA3-075A0EE9C57B}"/>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8" name="Shape 11">
          <a:extLst>
            <a:ext uri="{FF2B5EF4-FFF2-40B4-BE49-F238E27FC236}">
              <a16:creationId xmlns:a16="http://schemas.microsoft.com/office/drawing/2014/main" id="{57CF38C0-3BF4-495A-BF71-F62FC5CE4FC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9" name="Shape 11">
          <a:extLst>
            <a:ext uri="{FF2B5EF4-FFF2-40B4-BE49-F238E27FC236}">
              <a16:creationId xmlns:a16="http://schemas.microsoft.com/office/drawing/2014/main" id="{5A645B8E-0E33-4964-BF39-2D897CD0BC8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0" name="Shape 11">
          <a:extLst>
            <a:ext uri="{FF2B5EF4-FFF2-40B4-BE49-F238E27FC236}">
              <a16:creationId xmlns:a16="http://schemas.microsoft.com/office/drawing/2014/main" id="{74751509-51A2-43EF-B4B3-8C3240BDEC4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1" name="Shape 11">
          <a:extLst>
            <a:ext uri="{FF2B5EF4-FFF2-40B4-BE49-F238E27FC236}">
              <a16:creationId xmlns:a16="http://schemas.microsoft.com/office/drawing/2014/main" id="{11012D42-9493-4BBA-88AB-1DF73D5FC15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2" name="Shape 11">
          <a:extLst>
            <a:ext uri="{FF2B5EF4-FFF2-40B4-BE49-F238E27FC236}">
              <a16:creationId xmlns:a16="http://schemas.microsoft.com/office/drawing/2014/main" id="{19A51BE2-FB46-4889-A21C-C201502F022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3" name="Shape 10">
          <a:extLst>
            <a:ext uri="{FF2B5EF4-FFF2-40B4-BE49-F238E27FC236}">
              <a16:creationId xmlns:a16="http://schemas.microsoft.com/office/drawing/2014/main" id="{0516BADB-788C-49CF-9A5C-146AFEBCB05A}"/>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4" name="Shape 11">
          <a:extLst>
            <a:ext uri="{FF2B5EF4-FFF2-40B4-BE49-F238E27FC236}">
              <a16:creationId xmlns:a16="http://schemas.microsoft.com/office/drawing/2014/main" id="{057FF773-D5EC-4814-A3E7-A19954B4D7E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5" name="Shape 13">
          <a:extLst>
            <a:ext uri="{FF2B5EF4-FFF2-40B4-BE49-F238E27FC236}">
              <a16:creationId xmlns:a16="http://schemas.microsoft.com/office/drawing/2014/main" id="{16E6FE92-0792-452D-96D6-F603BBD09F8B}"/>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6" name="Shape 14">
          <a:extLst>
            <a:ext uri="{FF2B5EF4-FFF2-40B4-BE49-F238E27FC236}">
              <a16:creationId xmlns:a16="http://schemas.microsoft.com/office/drawing/2014/main" id="{9200C3F5-A85F-45D1-9B46-6A04DEF723B8}"/>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7" name="Shape 10">
          <a:extLst>
            <a:ext uri="{FF2B5EF4-FFF2-40B4-BE49-F238E27FC236}">
              <a16:creationId xmlns:a16="http://schemas.microsoft.com/office/drawing/2014/main" id="{27645C68-F030-4CF2-A00A-BB4FCC6F60B3}"/>
            </a:ext>
          </a:extLst>
        </xdr:cNvPr>
        <xdr:cNvSpPr txBox="1"/>
      </xdr:nvSpPr>
      <xdr:spPr>
        <a:xfrm>
          <a:off x="4124325" y="359473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8" name="Shape 14">
          <a:extLst>
            <a:ext uri="{FF2B5EF4-FFF2-40B4-BE49-F238E27FC236}">
              <a16:creationId xmlns:a16="http://schemas.microsoft.com/office/drawing/2014/main" id="{7B5E0BE3-F1EF-4BF4-82E6-1209C1EC30D1}"/>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9" name="Shape 11">
          <a:extLst>
            <a:ext uri="{FF2B5EF4-FFF2-40B4-BE49-F238E27FC236}">
              <a16:creationId xmlns:a16="http://schemas.microsoft.com/office/drawing/2014/main" id="{7CB92599-308B-4FAC-B2DA-C4BAEA1FBE3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0" name="Shape 10">
          <a:extLst>
            <a:ext uri="{FF2B5EF4-FFF2-40B4-BE49-F238E27FC236}">
              <a16:creationId xmlns:a16="http://schemas.microsoft.com/office/drawing/2014/main" id="{EA911D32-9B9C-430C-9993-9395483DCF87}"/>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1" name="Shape 11">
          <a:extLst>
            <a:ext uri="{FF2B5EF4-FFF2-40B4-BE49-F238E27FC236}">
              <a16:creationId xmlns:a16="http://schemas.microsoft.com/office/drawing/2014/main" id="{5FC5EEFB-74DD-4A49-9103-9F51C90499A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2" name="Shape 11">
          <a:extLst>
            <a:ext uri="{FF2B5EF4-FFF2-40B4-BE49-F238E27FC236}">
              <a16:creationId xmlns:a16="http://schemas.microsoft.com/office/drawing/2014/main" id="{64FA9377-9653-42E5-9F6D-9EBFB5A19B1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3" name="Shape 11">
          <a:extLst>
            <a:ext uri="{FF2B5EF4-FFF2-40B4-BE49-F238E27FC236}">
              <a16:creationId xmlns:a16="http://schemas.microsoft.com/office/drawing/2014/main" id="{FDC65D2E-A380-4E22-A6A1-81BEF10511B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4" name="Shape 11">
          <a:extLst>
            <a:ext uri="{FF2B5EF4-FFF2-40B4-BE49-F238E27FC236}">
              <a16:creationId xmlns:a16="http://schemas.microsoft.com/office/drawing/2014/main" id="{F891D793-DB9F-402F-8245-BB51C920140B}"/>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5" name="Shape 11">
          <a:extLst>
            <a:ext uri="{FF2B5EF4-FFF2-40B4-BE49-F238E27FC236}">
              <a16:creationId xmlns:a16="http://schemas.microsoft.com/office/drawing/2014/main" id="{C7390206-69EF-4321-A58F-8EB648B05ED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6" name="Shape 10">
          <a:extLst>
            <a:ext uri="{FF2B5EF4-FFF2-40B4-BE49-F238E27FC236}">
              <a16:creationId xmlns:a16="http://schemas.microsoft.com/office/drawing/2014/main" id="{0F16C3B9-3857-40CC-9443-984B3EA8C914}"/>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7" name="Shape 11">
          <a:extLst>
            <a:ext uri="{FF2B5EF4-FFF2-40B4-BE49-F238E27FC236}">
              <a16:creationId xmlns:a16="http://schemas.microsoft.com/office/drawing/2014/main" id="{575F5F5E-D19D-47C4-97B7-C764338AE38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8" name="Shape 11">
          <a:extLst>
            <a:ext uri="{FF2B5EF4-FFF2-40B4-BE49-F238E27FC236}">
              <a16:creationId xmlns:a16="http://schemas.microsoft.com/office/drawing/2014/main" id="{25DAEF7C-6C93-4622-97E0-F58C89721E28}"/>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9" name="Shape 11">
          <a:extLst>
            <a:ext uri="{FF2B5EF4-FFF2-40B4-BE49-F238E27FC236}">
              <a16:creationId xmlns:a16="http://schemas.microsoft.com/office/drawing/2014/main" id="{ADC337DC-AD0A-4EA9-B782-72ED02317CD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0" name="Shape 11">
          <a:extLst>
            <a:ext uri="{FF2B5EF4-FFF2-40B4-BE49-F238E27FC236}">
              <a16:creationId xmlns:a16="http://schemas.microsoft.com/office/drawing/2014/main" id="{36E886AD-C2BA-424D-ABFF-86D9A4478B0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1" name="Shape 11">
          <a:extLst>
            <a:ext uri="{FF2B5EF4-FFF2-40B4-BE49-F238E27FC236}">
              <a16:creationId xmlns:a16="http://schemas.microsoft.com/office/drawing/2014/main" id="{9736934B-2211-4C5C-B7E7-2E053F8B672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2" name="Shape 10">
          <a:extLst>
            <a:ext uri="{FF2B5EF4-FFF2-40B4-BE49-F238E27FC236}">
              <a16:creationId xmlns:a16="http://schemas.microsoft.com/office/drawing/2014/main" id="{9D6D4C26-3EFE-4FD9-9DF0-86AE47950751}"/>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3" name="Shape 11">
          <a:extLst>
            <a:ext uri="{FF2B5EF4-FFF2-40B4-BE49-F238E27FC236}">
              <a16:creationId xmlns:a16="http://schemas.microsoft.com/office/drawing/2014/main" id="{AF0AF5A7-D3F5-45A4-99AA-6E359BDFA82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4" name="Shape 11">
          <a:extLst>
            <a:ext uri="{FF2B5EF4-FFF2-40B4-BE49-F238E27FC236}">
              <a16:creationId xmlns:a16="http://schemas.microsoft.com/office/drawing/2014/main" id="{B8462478-FF80-4136-A76B-1596A1B0726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5" name="Shape 11">
          <a:extLst>
            <a:ext uri="{FF2B5EF4-FFF2-40B4-BE49-F238E27FC236}">
              <a16:creationId xmlns:a16="http://schemas.microsoft.com/office/drawing/2014/main" id="{AB8E6FEA-E0F9-4FE4-9CDA-FB20107538F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6" name="Shape 11">
          <a:extLst>
            <a:ext uri="{FF2B5EF4-FFF2-40B4-BE49-F238E27FC236}">
              <a16:creationId xmlns:a16="http://schemas.microsoft.com/office/drawing/2014/main" id="{2CBC7B67-F7AD-4850-906A-2F2F0D6F430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7" name="Shape 11">
          <a:extLst>
            <a:ext uri="{FF2B5EF4-FFF2-40B4-BE49-F238E27FC236}">
              <a16:creationId xmlns:a16="http://schemas.microsoft.com/office/drawing/2014/main" id="{98145290-EB0A-4835-B8B3-B02A8C68F73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8" name="Shape 10">
          <a:extLst>
            <a:ext uri="{FF2B5EF4-FFF2-40B4-BE49-F238E27FC236}">
              <a16:creationId xmlns:a16="http://schemas.microsoft.com/office/drawing/2014/main" id="{6E22C410-78A1-4816-BAD6-976DFF309DCC}"/>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9" name="Shape 11">
          <a:extLst>
            <a:ext uri="{FF2B5EF4-FFF2-40B4-BE49-F238E27FC236}">
              <a16:creationId xmlns:a16="http://schemas.microsoft.com/office/drawing/2014/main" id="{7A3B8202-0A4C-4B31-8F05-54EA269E14F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0" name="Shape 11">
          <a:extLst>
            <a:ext uri="{FF2B5EF4-FFF2-40B4-BE49-F238E27FC236}">
              <a16:creationId xmlns:a16="http://schemas.microsoft.com/office/drawing/2014/main" id="{EEBE9CB4-2627-41D7-B9E7-E1C1267585F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1" name="Shape 11">
          <a:extLst>
            <a:ext uri="{FF2B5EF4-FFF2-40B4-BE49-F238E27FC236}">
              <a16:creationId xmlns:a16="http://schemas.microsoft.com/office/drawing/2014/main" id="{73FBF009-EAF8-4570-BB2B-1543E0BF989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2" name="Shape 11">
          <a:extLst>
            <a:ext uri="{FF2B5EF4-FFF2-40B4-BE49-F238E27FC236}">
              <a16:creationId xmlns:a16="http://schemas.microsoft.com/office/drawing/2014/main" id="{634DC6C3-148C-48BC-B47C-02FBA7A175B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3" name="Shape 11">
          <a:extLst>
            <a:ext uri="{FF2B5EF4-FFF2-40B4-BE49-F238E27FC236}">
              <a16:creationId xmlns:a16="http://schemas.microsoft.com/office/drawing/2014/main" id="{06B48AE2-3AD4-4B8D-9AD1-4EB5E336590B}"/>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14" name="Shape 10">
          <a:extLst>
            <a:ext uri="{FF2B5EF4-FFF2-40B4-BE49-F238E27FC236}">
              <a16:creationId xmlns:a16="http://schemas.microsoft.com/office/drawing/2014/main" id="{4CA324DB-AB7E-4D73-8402-8EDC28DBAA1C}"/>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5" name="Shape 11">
          <a:extLst>
            <a:ext uri="{FF2B5EF4-FFF2-40B4-BE49-F238E27FC236}">
              <a16:creationId xmlns:a16="http://schemas.microsoft.com/office/drawing/2014/main" id="{7D44EA82-1643-466E-94E0-02E57F3ABFC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6" name="Shape 11">
          <a:extLst>
            <a:ext uri="{FF2B5EF4-FFF2-40B4-BE49-F238E27FC236}">
              <a16:creationId xmlns:a16="http://schemas.microsoft.com/office/drawing/2014/main" id="{91B68748-7296-4620-8958-ACBA20713F0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7" name="Shape 11">
          <a:extLst>
            <a:ext uri="{FF2B5EF4-FFF2-40B4-BE49-F238E27FC236}">
              <a16:creationId xmlns:a16="http://schemas.microsoft.com/office/drawing/2014/main" id="{B0FA1926-D651-41D7-B428-52BFB460889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8" name="Shape 11">
          <a:extLst>
            <a:ext uri="{FF2B5EF4-FFF2-40B4-BE49-F238E27FC236}">
              <a16:creationId xmlns:a16="http://schemas.microsoft.com/office/drawing/2014/main" id="{5A1BB432-9010-4321-91B5-1E1CC4D50D6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9" name="Shape 11">
          <a:extLst>
            <a:ext uri="{FF2B5EF4-FFF2-40B4-BE49-F238E27FC236}">
              <a16:creationId xmlns:a16="http://schemas.microsoft.com/office/drawing/2014/main" id="{2697C8A4-C1BD-4F46-9BE9-34C43A6C9502}"/>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0" name="Shape 10">
          <a:extLst>
            <a:ext uri="{FF2B5EF4-FFF2-40B4-BE49-F238E27FC236}">
              <a16:creationId xmlns:a16="http://schemas.microsoft.com/office/drawing/2014/main" id="{E1BD9D13-10A4-4F44-AD46-DE2983039948}"/>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1" name="Shape 11">
          <a:extLst>
            <a:ext uri="{FF2B5EF4-FFF2-40B4-BE49-F238E27FC236}">
              <a16:creationId xmlns:a16="http://schemas.microsoft.com/office/drawing/2014/main" id="{63420BD7-708A-477D-9612-4F2291DE30A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2" name="Shape 11">
          <a:extLst>
            <a:ext uri="{FF2B5EF4-FFF2-40B4-BE49-F238E27FC236}">
              <a16:creationId xmlns:a16="http://schemas.microsoft.com/office/drawing/2014/main" id="{FFBB873E-B9ED-4A41-AD59-F3D4F7576AE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3" name="Shape 11">
          <a:extLst>
            <a:ext uri="{FF2B5EF4-FFF2-40B4-BE49-F238E27FC236}">
              <a16:creationId xmlns:a16="http://schemas.microsoft.com/office/drawing/2014/main" id="{66124B8B-326D-49A8-A857-83C2BE590FA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4" name="Shape 11">
          <a:extLst>
            <a:ext uri="{FF2B5EF4-FFF2-40B4-BE49-F238E27FC236}">
              <a16:creationId xmlns:a16="http://schemas.microsoft.com/office/drawing/2014/main" id="{151E969B-A884-4D59-8E62-310C1BC5371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5" name="Shape 11">
          <a:extLst>
            <a:ext uri="{FF2B5EF4-FFF2-40B4-BE49-F238E27FC236}">
              <a16:creationId xmlns:a16="http://schemas.microsoft.com/office/drawing/2014/main" id="{22E9E0E7-D9B3-46A4-BBF2-7B9D49E3AAC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6" name="Shape 10">
          <a:extLst>
            <a:ext uri="{FF2B5EF4-FFF2-40B4-BE49-F238E27FC236}">
              <a16:creationId xmlns:a16="http://schemas.microsoft.com/office/drawing/2014/main" id="{788BD4DD-03BD-4D3F-99A1-DCBCABD464E6}"/>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7" name="Shape 11">
          <a:extLst>
            <a:ext uri="{FF2B5EF4-FFF2-40B4-BE49-F238E27FC236}">
              <a16:creationId xmlns:a16="http://schemas.microsoft.com/office/drawing/2014/main" id="{91378DD9-EFB3-451A-A63B-8D58E9DC00D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8" name="Shape 13">
          <a:extLst>
            <a:ext uri="{FF2B5EF4-FFF2-40B4-BE49-F238E27FC236}">
              <a16:creationId xmlns:a16="http://schemas.microsoft.com/office/drawing/2014/main" id="{D1ECCF96-0D84-4D6C-A630-825CD95A8A34}"/>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29" name="Shape 14">
          <a:extLst>
            <a:ext uri="{FF2B5EF4-FFF2-40B4-BE49-F238E27FC236}">
              <a16:creationId xmlns:a16="http://schemas.microsoft.com/office/drawing/2014/main" id="{C9FC0EBB-3B11-4CC6-9083-F2B0341983F0}"/>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30" name="Shape 10">
          <a:extLst>
            <a:ext uri="{FF2B5EF4-FFF2-40B4-BE49-F238E27FC236}">
              <a16:creationId xmlns:a16="http://schemas.microsoft.com/office/drawing/2014/main" id="{B758381C-CCAE-4A79-BDDB-02C06B91A4D3}"/>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31" name="Shape 12">
          <a:extLst>
            <a:ext uri="{FF2B5EF4-FFF2-40B4-BE49-F238E27FC236}">
              <a16:creationId xmlns:a16="http://schemas.microsoft.com/office/drawing/2014/main" id="{606023D7-0A9B-4682-AD57-E5A46A6A0BDA}"/>
            </a:ext>
          </a:extLst>
        </xdr:cNvPr>
        <xdr:cNvSpPr txBox="1"/>
      </xdr:nvSpPr>
      <xdr:spPr>
        <a:xfrm>
          <a:off x="0" y="357854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A792ABAF-0A83-43E2-BF4B-048D59057A3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 name="Shape 10">
          <a:extLst>
            <a:ext uri="{FF2B5EF4-FFF2-40B4-BE49-F238E27FC236}">
              <a16:creationId xmlns:a16="http://schemas.microsoft.com/office/drawing/2014/main" id="{B8F87960-DD1A-4BE2-8933-67421A82D105}"/>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598A4830-0680-4605-8814-2A667E249F6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A5A3919-C9CF-4988-84C5-5F5ED36FA6B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2A3A002E-ED0A-40BA-87E7-990D789A84F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 name="Shape 11">
          <a:extLst>
            <a:ext uri="{FF2B5EF4-FFF2-40B4-BE49-F238E27FC236}">
              <a16:creationId xmlns:a16="http://schemas.microsoft.com/office/drawing/2014/main" id="{B7615CA8-01C3-4B11-ADD3-7CB27B4E123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6675B6F2-B390-4FFF-A76C-8CEB1157C3D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9" name="Shape 10">
          <a:extLst>
            <a:ext uri="{FF2B5EF4-FFF2-40B4-BE49-F238E27FC236}">
              <a16:creationId xmlns:a16="http://schemas.microsoft.com/office/drawing/2014/main" id="{FB30A6DA-91B7-4A26-B647-23399F7DB91F}"/>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0" name="Shape 11">
          <a:extLst>
            <a:ext uri="{FF2B5EF4-FFF2-40B4-BE49-F238E27FC236}">
              <a16:creationId xmlns:a16="http://schemas.microsoft.com/office/drawing/2014/main" id="{25E23498-D5E7-4D62-839D-D42BEBA315B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7A2DA5F2-60B7-44AD-A6D8-68F5622338F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D701CB7D-0FEC-4A07-A28F-0D3695FDBCA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FC0C40FB-B5EC-4E1F-9ECB-F1E82D8959D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A75813C4-862B-4E42-BD2D-40129689EE8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9EED539F-896B-449C-88AD-47FC30BC88B9}"/>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C9EA0793-4F74-4EDD-ABA5-4AB0F94435F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77BC17E1-33E8-4C26-8590-4B94031EE0D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BB1F430-824C-462C-8465-84622A9E647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2FAB90-43A4-4DA5-BECC-02F9F750FF8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9463A1BD-BBF7-48EF-B47B-02859151022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30BCEC-A823-4904-B382-E46EADC978B0}"/>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D975090E-D32A-4B19-A1CE-F6A4A7C3B83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6CB67512-0648-4AD2-AB89-22F5FF7A498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28A48925-DEC0-4630-A85E-411227AD2144}"/>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966D375C-2170-4D73-9260-15B32B2E5A8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B0271651-442E-4C45-9F55-0B7B41DB9CF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5EDE4F7B-0C98-435C-AD3F-0F9A189E0388}"/>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832F669E-9B05-46B6-ACCE-171E152D7F5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28DDBF0D-211C-4AF5-8193-A8A984F3573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A76683E5-2823-430A-BDC4-EFF4EC95E0D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F70A3C14-7D10-4BA2-87F8-4A9616EA9460}"/>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F0BFA83A-7767-45B7-B70C-BF7A31842D4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635DDC9C-6B3A-4B40-B38A-353161557F4E}"/>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7E5F204-1095-4A6D-BC06-B7DC5E8BBBA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22396131-1D75-4894-AF69-CD7DD926B5A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9DF8C684-35F3-42D7-ADA5-0450967BEF4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115EBC19-D72C-4DB8-A0AA-5B554C7F383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302E5B83-BEC0-4E87-93AE-7BB5588CD55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DE66E260-1E29-4CCE-BA46-6E411F49F788}"/>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55DC84DA-CEF3-4FAC-A4E2-1C967261F51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67FC53A8-1DC6-4103-A528-F903EEBD9423}"/>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1B92CC92-307C-4A71-BCB1-D7475CA43E7D}"/>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9BCA766A-E949-4CBA-A1F6-9E77D455C849}"/>
            </a:ext>
          </a:extLst>
        </xdr:cNvPr>
        <xdr:cNvSpPr txBox="1"/>
      </xdr:nvSpPr>
      <xdr:spPr>
        <a:xfrm>
          <a:off x="4124325" y="1619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1EFACD18-70EF-4C73-ACF7-0FAF917E6D50}"/>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84CFA6D8-13AE-4A8F-BE6A-6F7EC3906D2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595621B5-1250-467D-80D7-D18971352F1A}"/>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C6151656-0F20-49F7-BB93-7D32A68597E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427D1EF-4A69-4130-A9E8-4C16559C4C9B}"/>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74248EB6-0760-4679-B07F-3E5777EF619E}"/>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2FD2BA79-D677-46C9-97EB-5E8DDE2BA3C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7C30F388-1C98-430B-A35B-44EAC722A97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244197C-50FC-4E74-B4E9-141011F65C1F}"/>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4C7930C5-776F-4532-8663-9CAC05C6DB87}"/>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7E1A394C-F471-4F9D-820C-B9D7FC60347C}"/>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E1311D9B-3F7B-47F2-9463-3F533B78023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86AADAE9-3936-4FD3-9BFB-565CC95A808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556207AD-D74D-4776-83D9-35874A95609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3BCA4CD8-611D-467C-8EF5-EF36483F0860}"/>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FA22FCC3-4361-4BED-AFC0-36B2BB86086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5E22BE7C-5EDF-46DA-B997-B5864B7A30F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5284980C-F960-40BC-93C1-EEC27FAC762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4D5BBD-E4EC-4FDF-85C8-88ED8DE8AB0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5A89168B-5024-47BA-AF4F-2E5F9F48B06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A06C993F-6611-4415-B9D7-668AE4DEA28C}"/>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2FD8514-6912-4B11-A85C-276EE8E0A29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14602377-BB9C-4D06-B3D2-E681AD20C66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718E14DB-10D9-49E4-9EC8-6946F37D35C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D2C3F9C1-95A4-4632-8485-128F72C13752}"/>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318BF45A-50BC-4072-B804-FE7BCC32E813}"/>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46A3B479-B4B3-4853-AF42-C4C20A4425EA}"/>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D8F79EBF-B709-41C4-9329-477185C8287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2D395E41-06C0-486B-8ED8-B786A6ADE485}"/>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3BBE32E0-1A28-4E9C-9095-412AD65F295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D7993B66-CBA4-4566-A263-2F4D22CCB8DF}"/>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79D6744C-6235-41BD-A828-7E6EB239A62A}"/>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1E9F73BC-CA01-4B8C-B7FC-09E48D55CE92}"/>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7ACEE212-5CD6-48FA-AC18-C0B8071033E9}"/>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D852B8C1-0D2B-47A2-998C-8B16865F75C8}"/>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9562725B-E586-4D36-80BC-4CA28D7795C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D4AE2F11-0D1B-4771-BB1C-904481FE5456}"/>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C96D1975-57F7-486B-8FD1-9896B1FD054D}"/>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E9A31906-229F-4235-BFF0-36FB2ECD370D}"/>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43536E1A-CC92-4444-82D1-F9D668DB6C91}"/>
            </a:ext>
          </a:extLst>
        </xdr:cNvPr>
        <xdr:cNvSpPr txBox="1"/>
      </xdr:nvSpPr>
      <xdr:spPr>
        <a:xfrm>
          <a:off x="4124325" y="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F9D47CDE-7659-45AB-8CA9-D783D485198F}"/>
            </a:ext>
          </a:extLst>
        </xdr:cNvPr>
        <xdr:cNvSpPr txBox="1"/>
      </xdr:nvSpPr>
      <xdr:spPr>
        <a:xfrm>
          <a:off x="4124325" y="1619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6992691F-5893-465F-9BFA-48246274431D}"/>
            </a:ext>
          </a:extLst>
        </xdr:cNvPr>
        <xdr:cNvSpPr txBox="1"/>
      </xdr:nvSpPr>
      <xdr:spPr>
        <a:xfrm>
          <a:off x="0" y="1619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82EC1981-3FB2-47F3-B263-825BE8A3E91C}"/>
            </a:ext>
          </a:extLst>
        </xdr:cNvPr>
        <xdr:cNvSpPr txBox="1"/>
      </xdr:nvSpPr>
      <xdr:spPr>
        <a:xfrm>
          <a:off x="4124325" y="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EA8C1298-1CE5-4F84-87DF-A5DC5685F5D7}"/>
            </a:ext>
          </a:extLst>
        </xdr:cNvPr>
        <xdr:cNvSpPr txBox="1"/>
      </xdr:nvSpPr>
      <xdr:spPr>
        <a:xfrm>
          <a:off x="0" y="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88" name="Shape 11">
          <a:extLst>
            <a:ext uri="{FF2B5EF4-FFF2-40B4-BE49-F238E27FC236}">
              <a16:creationId xmlns:a16="http://schemas.microsoft.com/office/drawing/2014/main" id="{A43E1640-71AF-4B68-8B56-46E08D81B90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89" name="Shape 10">
          <a:extLst>
            <a:ext uri="{FF2B5EF4-FFF2-40B4-BE49-F238E27FC236}">
              <a16:creationId xmlns:a16="http://schemas.microsoft.com/office/drawing/2014/main" id="{6483BFC5-EFEE-4BF5-BB14-C6230E88F0ED}"/>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0" name="Shape 11">
          <a:extLst>
            <a:ext uri="{FF2B5EF4-FFF2-40B4-BE49-F238E27FC236}">
              <a16:creationId xmlns:a16="http://schemas.microsoft.com/office/drawing/2014/main" id="{DC66CCC5-D7E1-4723-AB03-C0F457D3D6B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1" name="Shape 11">
          <a:extLst>
            <a:ext uri="{FF2B5EF4-FFF2-40B4-BE49-F238E27FC236}">
              <a16:creationId xmlns:a16="http://schemas.microsoft.com/office/drawing/2014/main" id="{DB070F8E-4693-4A50-8242-312A4903EAE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2" name="Shape 11">
          <a:extLst>
            <a:ext uri="{FF2B5EF4-FFF2-40B4-BE49-F238E27FC236}">
              <a16:creationId xmlns:a16="http://schemas.microsoft.com/office/drawing/2014/main" id="{A7EC9767-99B1-4903-9125-6D4ACD51D24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3" name="Shape 11">
          <a:extLst>
            <a:ext uri="{FF2B5EF4-FFF2-40B4-BE49-F238E27FC236}">
              <a16:creationId xmlns:a16="http://schemas.microsoft.com/office/drawing/2014/main" id="{67131915-91EA-42B8-A50D-E6DC71A56C0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4" name="Shape 11">
          <a:extLst>
            <a:ext uri="{FF2B5EF4-FFF2-40B4-BE49-F238E27FC236}">
              <a16:creationId xmlns:a16="http://schemas.microsoft.com/office/drawing/2014/main" id="{9BC4DA39-A670-4DB3-9023-7676C790C2F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95" name="Shape 10">
          <a:extLst>
            <a:ext uri="{FF2B5EF4-FFF2-40B4-BE49-F238E27FC236}">
              <a16:creationId xmlns:a16="http://schemas.microsoft.com/office/drawing/2014/main" id="{D1E9A0DB-DB8E-4D98-93B2-596F051A4B2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6" name="Shape 11">
          <a:extLst>
            <a:ext uri="{FF2B5EF4-FFF2-40B4-BE49-F238E27FC236}">
              <a16:creationId xmlns:a16="http://schemas.microsoft.com/office/drawing/2014/main" id="{DFAEB405-E626-4922-A0D3-2702257252B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7" name="Shape 11">
          <a:extLst>
            <a:ext uri="{FF2B5EF4-FFF2-40B4-BE49-F238E27FC236}">
              <a16:creationId xmlns:a16="http://schemas.microsoft.com/office/drawing/2014/main" id="{B999CFAD-45BF-45FA-BF9D-51D29E742957}"/>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8" name="Shape 11">
          <a:extLst>
            <a:ext uri="{FF2B5EF4-FFF2-40B4-BE49-F238E27FC236}">
              <a16:creationId xmlns:a16="http://schemas.microsoft.com/office/drawing/2014/main" id="{0784846C-4BE1-4815-A36B-6993C41E34E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99" name="Shape 11">
          <a:extLst>
            <a:ext uri="{FF2B5EF4-FFF2-40B4-BE49-F238E27FC236}">
              <a16:creationId xmlns:a16="http://schemas.microsoft.com/office/drawing/2014/main" id="{03FBA9AB-BC48-40D1-9CFC-D260B9EBE60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0" name="Shape 11">
          <a:extLst>
            <a:ext uri="{FF2B5EF4-FFF2-40B4-BE49-F238E27FC236}">
              <a16:creationId xmlns:a16="http://schemas.microsoft.com/office/drawing/2014/main" id="{10C8BA33-97B4-4C85-8C25-89C99D18634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1" name="Shape 10">
          <a:extLst>
            <a:ext uri="{FF2B5EF4-FFF2-40B4-BE49-F238E27FC236}">
              <a16:creationId xmlns:a16="http://schemas.microsoft.com/office/drawing/2014/main" id="{D08BE9B0-FD7A-4F82-8A30-AD039DF13EDD}"/>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2" name="Shape 11">
          <a:extLst>
            <a:ext uri="{FF2B5EF4-FFF2-40B4-BE49-F238E27FC236}">
              <a16:creationId xmlns:a16="http://schemas.microsoft.com/office/drawing/2014/main" id="{792F715A-20F6-4085-B613-75676015B9E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3" name="Shape 11">
          <a:extLst>
            <a:ext uri="{FF2B5EF4-FFF2-40B4-BE49-F238E27FC236}">
              <a16:creationId xmlns:a16="http://schemas.microsoft.com/office/drawing/2014/main" id="{659E039F-7B08-47F4-A042-0E137A3B0AB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4" name="Shape 11">
          <a:extLst>
            <a:ext uri="{FF2B5EF4-FFF2-40B4-BE49-F238E27FC236}">
              <a16:creationId xmlns:a16="http://schemas.microsoft.com/office/drawing/2014/main" id="{F2964336-79F0-4B07-8239-757C9D5179A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5" name="Shape 11">
          <a:extLst>
            <a:ext uri="{FF2B5EF4-FFF2-40B4-BE49-F238E27FC236}">
              <a16:creationId xmlns:a16="http://schemas.microsoft.com/office/drawing/2014/main" id="{2A5D04E5-E70B-4D3E-A85A-52D73E0CF54F}"/>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6" name="Shape 11">
          <a:extLst>
            <a:ext uri="{FF2B5EF4-FFF2-40B4-BE49-F238E27FC236}">
              <a16:creationId xmlns:a16="http://schemas.microsoft.com/office/drawing/2014/main" id="{CE0675A3-F212-4800-8168-A29285F4410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07" name="Shape 10">
          <a:extLst>
            <a:ext uri="{FF2B5EF4-FFF2-40B4-BE49-F238E27FC236}">
              <a16:creationId xmlns:a16="http://schemas.microsoft.com/office/drawing/2014/main" id="{3F68FC13-C45B-403B-9102-5AD060DD290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8" name="Shape 11">
          <a:extLst>
            <a:ext uri="{FF2B5EF4-FFF2-40B4-BE49-F238E27FC236}">
              <a16:creationId xmlns:a16="http://schemas.microsoft.com/office/drawing/2014/main" id="{5DEA0A7D-18B1-4C06-A7FC-B94C2DD842E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09" name="Shape 11">
          <a:extLst>
            <a:ext uri="{FF2B5EF4-FFF2-40B4-BE49-F238E27FC236}">
              <a16:creationId xmlns:a16="http://schemas.microsoft.com/office/drawing/2014/main" id="{CC9B79ED-A971-4330-A2C9-D3FAC9A9CEA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0" name="Shape 11">
          <a:extLst>
            <a:ext uri="{FF2B5EF4-FFF2-40B4-BE49-F238E27FC236}">
              <a16:creationId xmlns:a16="http://schemas.microsoft.com/office/drawing/2014/main" id="{CB7BFB38-A0AE-49E4-AB2A-6931543EF62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1" name="Shape 11">
          <a:extLst>
            <a:ext uri="{FF2B5EF4-FFF2-40B4-BE49-F238E27FC236}">
              <a16:creationId xmlns:a16="http://schemas.microsoft.com/office/drawing/2014/main" id="{DF0F9157-01B7-4FF0-827B-07EECCD25F4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2" name="Shape 11">
          <a:extLst>
            <a:ext uri="{FF2B5EF4-FFF2-40B4-BE49-F238E27FC236}">
              <a16:creationId xmlns:a16="http://schemas.microsoft.com/office/drawing/2014/main" id="{B5359F3F-33B7-49F0-8097-676F7CD4B8B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3" name="Shape 10">
          <a:extLst>
            <a:ext uri="{FF2B5EF4-FFF2-40B4-BE49-F238E27FC236}">
              <a16:creationId xmlns:a16="http://schemas.microsoft.com/office/drawing/2014/main" id="{B41C01CF-9494-4AC7-8FA8-ABBFC25604B4}"/>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4" name="Shape 11">
          <a:extLst>
            <a:ext uri="{FF2B5EF4-FFF2-40B4-BE49-F238E27FC236}">
              <a16:creationId xmlns:a16="http://schemas.microsoft.com/office/drawing/2014/main" id="{00C1FDF9-2D0C-4815-815E-AFF3B2B0474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5" name="Shape 11">
          <a:extLst>
            <a:ext uri="{FF2B5EF4-FFF2-40B4-BE49-F238E27FC236}">
              <a16:creationId xmlns:a16="http://schemas.microsoft.com/office/drawing/2014/main" id="{39DADC10-C011-47A6-9378-B0449EEC90B6}"/>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6" name="Shape 11">
          <a:extLst>
            <a:ext uri="{FF2B5EF4-FFF2-40B4-BE49-F238E27FC236}">
              <a16:creationId xmlns:a16="http://schemas.microsoft.com/office/drawing/2014/main" id="{3ADC8C25-222B-498B-B9E0-D0C47B780A3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7" name="Shape 11">
          <a:extLst>
            <a:ext uri="{FF2B5EF4-FFF2-40B4-BE49-F238E27FC236}">
              <a16:creationId xmlns:a16="http://schemas.microsoft.com/office/drawing/2014/main" id="{383DD526-7825-40B0-88DD-32E415E4CF4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18" name="Shape 11">
          <a:extLst>
            <a:ext uri="{FF2B5EF4-FFF2-40B4-BE49-F238E27FC236}">
              <a16:creationId xmlns:a16="http://schemas.microsoft.com/office/drawing/2014/main" id="{B5A5374D-FD36-4E4D-B38B-F94A8332F19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19" name="Shape 10">
          <a:extLst>
            <a:ext uri="{FF2B5EF4-FFF2-40B4-BE49-F238E27FC236}">
              <a16:creationId xmlns:a16="http://schemas.microsoft.com/office/drawing/2014/main" id="{B51053E5-E4C5-4740-A2C1-1FF1608F0D9F}"/>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0" name="Shape 11">
          <a:extLst>
            <a:ext uri="{FF2B5EF4-FFF2-40B4-BE49-F238E27FC236}">
              <a16:creationId xmlns:a16="http://schemas.microsoft.com/office/drawing/2014/main" id="{F397972F-9BDE-452F-9898-B7673EFD5D5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1" name="Shape 11">
          <a:extLst>
            <a:ext uri="{FF2B5EF4-FFF2-40B4-BE49-F238E27FC236}">
              <a16:creationId xmlns:a16="http://schemas.microsoft.com/office/drawing/2014/main" id="{1A554227-8A28-4DDD-8D98-55584E4B7E6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2" name="Shape 11">
          <a:extLst>
            <a:ext uri="{FF2B5EF4-FFF2-40B4-BE49-F238E27FC236}">
              <a16:creationId xmlns:a16="http://schemas.microsoft.com/office/drawing/2014/main" id="{AF6727C0-9790-4B6E-9079-C6DFDCA07D9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3" name="Shape 11">
          <a:extLst>
            <a:ext uri="{FF2B5EF4-FFF2-40B4-BE49-F238E27FC236}">
              <a16:creationId xmlns:a16="http://schemas.microsoft.com/office/drawing/2014/main" id="{D33038FD-CDB7-40E1-A063-E3EEC7F49F1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4" name="Shape 11">
          <a:extLst>
            <a:ext uri="{FF2B5EF4-FFF2-40B4-BE49-F238E27FC236}">
              <a16:creationId xmlns:a16="http://schemas.microsoft.com/office/drawing/2014/main" id="{EA480BA2-E377-4A32-BBB4-E0A9F6B6C19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5" name="Shape 10">
          <a:extLst>
            <a:ext uri="{FF2B5EF4-FFF2-40B4-BE49-F238E27FC236}">
              <a16:creationId xmlns:a16="http://schemas.microsoft.com/office/drawing/2014/main" id="{0C7BB5CD-1D14-4865-8EAB-0C696E9326B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6" name="Shape 11">
          <a:extLst>
            <a:ext uri="{FF2B5EF4-FFF2-40B4-BE49-F238E27FC236}">
              <a16:creationId xmlns:a16="http://schemas.microsoft.com/office/drawing/2014/main" id="{502EA103-A7D9-4FB5-B20E-01B7441C4C4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27" name="Shape 13">
          <a:extLst>
            <a:ext uri="{FF2B5EF4-FFF2-40B4-BE49-F238E27FC236}">
              <a16:creationId xmlns:a16="http://schemas.microsoft.com/office/drawing/2014/main" id="{95CE0D9E-2271-48D2-8EEB-3754E7AC03C3}"/>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28" name="Shape 14">
          <a:extLst>
            <a:ext uri="{FF2B5EF4-FFF2-40B4-BE49-F238E27FC236}">
              <a16:creationId xmlns:a16="http://schemas.microsoft.com/office/drawing/2014/main" id="{C116EE71-65C4-4171-A86C-9B98D6DC6405}"/>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29" name="Shape 10">
          <a:extLst>
            <a:ext uri="{FF2B5EF4-FFF2-40B4-BE49-F238E27FC236}">
              <a16:creationId xmlns:a16="http://schemas.microsoft.com/office/drawing/2014/main" id="{A35EC4A7-7350-448E-9C1E-217AED8F3E89}"/>
            </a:ext>
          </a:extLst>
        </xdr:cNvPr>
        <xdr:cNvSpPr txBox="1"/>
      </xdr:nvSpPr>
      <xdr:spPr>
        <a:xfrm>
          <a:off x="4124325" y="90678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30" name="Shape 14">
          <a:extLst>
            <a:ext uri="{FF2B5EF4-FFF2-40B4-BE49-F238E27FC236}">
              <a16:creationId xmlns:a16="http://schemas.microsoft.com/office/drawing/2014/main" id="{9FAA6673-9B5D-428E-910A-E98045EF8F13}"/>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1" name="Shape 11">
          <a:extLst>
            <a:ext uri="{FF2B5EF4-FFF2-40B4-BE49-F238E27FC236}">
              <a16:creationId xmlns:a16="http://schemas.microsoft.com/office/drawing/2014/main" id="{CB4453C9-0FC0-49C4-9766-F1C6A9E998F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2" name="Shape 10">
          <a:extLst>
            <a:ext uri="{FF2B5EF4-FFF2-40B4-BE49-F238E27FC236}">
              <a16:creationId xmlns:a16="http://schemas.microsoft.com/office/drawing/2014/main" id="{74D9DCD8-4019-4767-9AA9-5144BDF5263A}"/>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3" name="Shape 11">
          <a:extLst>
            <a:ext uri="{FF2B5EF4-FFF2-40B4-BE49-F238E27FC236}">
              <a16:creationId xmlns:a16="http://schemas.microsoft.com/office/drawing/2014/main" id="{957CE5BD-FB6E-4F77-AE70-98FC07510AB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4" name="Shape 11">
          <a:extLst>
            <a:ext uri="{FF2B5EF4-FFF2-40B4-BE49-F238E27FC236}">
              <a16:creationId xmlns:a16="http://schemas.microsoft.com/office/drawing/2014/main" id="{6CB9274A-2155-457A-A382-31E9071CC82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5" name="Shape 11">
          <a:extLst>
            <a:ext uri="{FF2B5EF4-FFF2-40B4-BE49-F238E27FC236}">
              <a16:creationId xmlns:a16="http://schemas.microsoft.com/office/drawing/2014/main" id="{3AAB4EBB-6C8D-48C8-A4E1-F93A2E720C7B}"/>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6" name="Shape 11">
          <a:extLst>
            <a:ext uri="{FF2B5EF4-FFF2-40B4-BE49-F238E27FC236}">
              <a16:creationId xmlns:a16="http://schemas.microsoft.com/office/drawing/2014/main" id="{6F719805-2A52-471B-A76A-B3BEAE08345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7" name="Shape 11">
          <a:extLst>
            <a:ext uri="{FF2B5EF4-FFF2-40B4-BE49-F238E27FC236}">
              <a16:creationId xmlns:a16="http://schemas.microsoft.com/office/drawing/2014/main" id="{3DE178E4-B6D9-4A0D-8F58-334A7CEFF92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38" name="Shape 10">
          <a:extLst>
            <a:ext uri="{FF2B5EF4-FFF2-40B4-BE49-F238E27FC236}">
              <a16:creationId xmlns:a16="http://schemas.microsoft.com/office/drawing/2014/main" id="{654D4047-3CB7-4E48-8AA9-7C42A3FF4726}"/>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39" name="Shape 11">
          <a:extLst>
            <a:ext uri="{FF2B5EF4-FFF2-40B4-BE49-F238E27FC236}">
              <a16:creationId xmlns:a16="http://schemas.microsoft.com/office/drawing/2014/main" id="{C8EC11F8-ECE7-43E1-9898-0D58982A8FD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0" name="Shape 11">
          <a:extLst>
            <a:ext uri="{FF2B5EF4-FFF2-40B4-BE49-F238E27FC236}">
              <a16:creationId xmlns:a16="http://schemas.microsoft.com/office/drawing/2014/main" id="{7FB0F821-A94E-495A-8A7E-7DD329764FDA}"/>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1" name="Shape 11">
          <a:extLst>
            <a:ext uri="{FF2B5EF4-FFF2-40B4-BE49-F238E27FC236}">
              <a16:creationId xmlns:a16="http://schemas.microsoft.com/office/drawing/2014/main" id="{0696FE1A-53BD-47C6-B90B-BCF56989480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2" name="Shape 11">
          <a:extLst>
            <a:ext uri="{FF2B5EF4-FFF2-40B4-BE49-F238E27FC236}">
              <a16:creationId xmlns:a16="http://schemas.microsoft.com/office/drawing/2014/main" id="{82BBC52B-BF32-43DA-9CDC-3EFC3C20652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3" name="Shape 11">
          <a:extLst>
            <a:ext uri="{FF2B5EF4-FFF2-40B4-BE49-F238E27FC236}">
              <a16:creationId xmlns:a16="http://schemas.microsoft.com/office/drawing/2014/main" id="{14CC8CED-DE2A-4847-B41A-DDCDDDA1636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44" name="Shape 10">
          <a:extLst>
            <a:ext uri="{FF2B5EF4-FFF2-40B4-BE49-F238E27FC236}">
              <a16:creationId xmlns:a16="http://schemas.microsoft.com/office/drawing/2014/main" id="{D79E2392-E7C8-4936-9F5E-7AD73C9B31DC}"/>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5" name="Shape 11">
          <a:extLst>
            <a:ext uri="{FF2B5EF4-FFF2-40B4-BE49-F238E27FC236}">
              <a16:creationId xmlns:a16="http://schemas.microsoft.com/office/drawing/2014/main" id="{CD96F07D-AFE3-44C1-924E-3DD2F401FCB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6" name="Shape 11">
          <a:extLst>
            <a:ext uri="{FF2B5EF4-FFF2-40B4-BE49-F238E27FC236}">
              <a16:creationId xmlns:a16="http://schemas.microsoft.com/office/drawing/2014/main" id="{94D332EE-6E94-4332-812D-952376564073}"/>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7" name="Shape 11">
          <a:extLst>
            <a:ext uri="{FF2B5EF4-FFF2-40B4-BE49-F238E27FC236}">
              <a16:creationId xmlns:a16="http://schemas.microsoft.com/office/drawing/2014/main" id="{321447DD-A40F-43F5-9DBB-D2B3513D530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8" name="Shape 11">
          <a:extLst>
            <a:ext uri="{FF2B5EF4-FFF2-40B4-BE49-F238E27FC236}">
              <a16:creationId xmlns:a16="http://schemas.microsoft.com/office/drawing/2014/main" id="{504AC844-2CB3-46B4-8C37-73338CD752F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49" name="Shape 11">
          <a:extLst>
            <a:ext uri="{FF2B5EF4-FFF2-40B4-BE49-F238E27FC236}">
              <a16:creationId xmlns:a16="http://schemas.microsoft.com/office/drawing/2014/main" id="{13CB96B0-8417-4EFF-8F78-050BBBF068D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0" name="Shape 10">
          <a:extLst>
            <a:ext uri="{FF2B5EF4-FFF2-40B4-BE49-F238E27FC236}">
              <a16:creationId xmlns:a16="http://schemas.microsoft.com/office/drawing/2014/main" id="{FB5C6F2C-DD8B-40F2-9CD2-633910AA19E3}"/>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1" name="Shape 11">
          <a:extLst>
            <a:ext uri="{FF2B5EF4-FFF2-40B4-BE49-F238E27FC236}">
              <a16:creationId xmlns:a16="http://schemas.microsoft.com/office/drawing/2014/main" id="{C8E48EB7-9520-471A-9BCA-AB35CAFB0FF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2" name="Shape 11">
          <a:extLst>
            <a:ext uri="{FF2B5EF4-FFF2-40B4-BE49-F238E27FC236}">
              <a16:creationId xmlns:a16="http://schemas.microsoft.com/office/drawing/2014/main" id="{5AF0D77F-3FD6-44E2-BF53-3E4F98AC82C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3" name="Shape 11">
          <a:extLst>
            <a:ext uri="{FF2B5EF4-FFF2-40B4-BE49-F238E27FC236}">
              <a16:creationId xmlns:a16="http://schemas.microsoft.com/office/drawing/2014/main" id="{1D20F674-5413-433F-A29F-C8C99BE77305}"/>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4" name="Shape 11">
          <a:extLst>
            <a:ext uri="{FF2B5EF4-FFF2-40B4-BE49-F238E27FC236}">
              <a16:creationId xmlns:a16="http://schemas.microsoft.com/office/drawing/2014/main" id="{25F7FD83-76B8-4C5A-BEDF-6823AE808630}"/>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5" name="Shape 11">
          <a:extLst>
            <a:ext uri="{FF2B5EF4-FFF2-40B4-BE49-F238E27FC236}">
              <a16:creationId xmlns:a16="http://schemas.microsoft.com/office/drawing/2014/main" id="{F3B48810-C1BB-4B68-8B01-F80C92450CF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56" name="Shape 10">
          <a:extLst>
            <a:ext uri="{FF2B5EF4-FFF2-40B4-BE49-F238E27FC236}">
              <a16:creationId xmlns:a16="http://schemas.microsoft.com/office/drawing/2014/main" id="{332C6EF2-0D91-4F44-A03B-27996DAA516E}"/>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7" name="Shape 11">
          <a:extLst>
            <a:ext uri="{FF2B5EF4-FFF2-40B4-BE49-F238E27FC236}">
              <a16:creationId xmlns:a16="http://schemas.microsoft.com/office/drawing/2014/main" id="{879A5C81-0F99-4658-990A-8E9A825886D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8" name="Shape 11">
          <a:extLst>
            <a:ext uri="{FF2B5EF4-FFF2-40B4-BE49-F238E27FC236}">
              <a16:creationId xmlns:a16="http://schemas.microsoft.com/office/drawing/2014/main" id="{DBF2C650-DCAB-49F7-BF81-B3FF46FEFE29}"/>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59" name="Shape 11">
          <a:extLst>
            <a:ext uri="{FF2B5EF4-FFF2-40B4-BE49-F238E27FC236}">
              <a16:creationId xmlns:a16="http://schemas.microsoft.com/office/drawing/2014/main" id="{97D93482-F6D1-4A1D-8C43-0B21BA7137B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0" name="Shape 11">
          <a:extLst>
            <a:ext uri="{FF2B5EF4-FFF2-40B4-BE49-F238E27FC236}">
              <a16:creationId xmlns:a16="http://schemas.microsoft.com/office/drawing/2014/main" id="{C52F8067-BFF1-4C04-9172-039489EEEDDD}"/>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1" name="Shape 11">
          <a:extLst>
            <a:ext uri="{FF2B5EF4-FFF2-40B4-BE49-F238E27FC236}">
              <a16:creationId xmlns:a16="http://schemas.microsoft.com/office/drawing/2014/main" id="{CE27B0CB-2C81-4816-A058-A998DB35BEAC}"/>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2" name="Shape 10">
          <a:extLst>
            <a:ext uri="{FF2B5EF4-FFF2-40B4-BE49-F238E27FC236}">
              <a16:creationId xmlns:a16="http://schemas.microsoft.com/office/drawing/2014/main" id="{1AE7C718-4642-481D-A616-F1142B819C49}"/>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3" name="Shape 11">
          <a:extLst>
            <a:ext uri="{FF2B5EF4-FFF2-40B4-BE49-F238E27FC236}">
              <a16:creationId xmlns:a16="http://schemas.microsoft.com/office/drawing/2014/main" id="{CAB0AA16-F98A-4337-9F16-6E26F8DA2B2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4" name="Shape 11">
          <a:extLst>
            <a:ext uri="{FF2B5EF4-FFF2-40B4-BE49-F238E27FC236}">
              <a16:creationId xmlns:a16="http://schemas.microsoft.com/office/drawing/2014/main" id="{758EE9D6-49D9-43BD-A573-9289E429C614}"/>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5" name="Shape 11">
          <a:extLst>
            <a:ext uri="{FF2B5EF4-FFF2-40B4-BE49-F238E27FC236}">
              <a16:creationId xmlns:a16="http://schemas.microsoft.com/office/drawing/2014/main" id="{E0BBFF49-5CF3-405C-9890-FC2A07141981}"/>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6" name="Shape 11">
          <a:extLst>
            <a:ext uri="{FF2B5EF4-FFF2-40B4-BE49-F238E27FC236}">
              <a16:creationId xmlns:a16="http://schemas.microsoft.com/office/drawing/2014/main" id="{F979E241-1425-475C-B479-7288638822E2}"/>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7" name="Shape 11">
          <a:extLst>
            <a:ext uri="{FF2B5EF4-FFF2-40B4-BE49-F238E27FC236}">
              <a16:creationId xmlns:a16="http://schemas.microsoft.com/office/drawing/2014/main" id="{D47820DE-1B75-4450-BA60-D4A33A0DF02E}"/>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68" name="Shape 10">
          <a:extLst>
            <a:ext uri="{FF2B5EF4-FFF2-40B4-BE49-F238E27FC236}">
              <a16:creationId xmlns:a16="http://schemas.microsoft.com/office/drawing/2014/main" id="{BC9E4895-F5F6-49BA-B297-5E999DFC0705}"/>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69" name="Shape 11">
          <a:extLst>
            <a:ext uri="{FF2B5EF4-FFF2-40B4-BE49-F238E27FC236}">
              <a16:creationId xmlns:a16="http://schemas.microsoft.com/office/drawing/2014/main" id="{4EBBE688-2813-4CD3-A904-888C737EC1C8}"/>
            </a:ext>
          </a:extLst>
        </xdr:cNvPr>
        <xdr:cNvSpPr txBox="1"/>
      </xdr:nvSpPr>
      <xdr:spPr>
        <a:xfrm>
          <a:off x="4124325" y="89058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0" name="Shape 13">
          <a:extLst>
            <a:ext uri="{FF2B5EF4-FFF2-40B4-BE49-F238E27FC236}">
              <a16:creationId xmlns:a16="http://schemas.microsoft.com/office/drawing/2014/main" id="{416D97AC-5FE9-491C-849A-6E2E51617C5F}"/>
            </a:ext>
          </a:extLst>
        </xdr:cNvPr>
        <xdr:cNvSpPr txBox="1"/>
      </xdr:nvSpPr>
      <xdr:spPr>
        <a:xfrm>
          <a:off x="4124325" y="90678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1" name="Shape 14">
          <a:extLst>
            <a:ext uri="{FF2B5EF4-FFF2-40B4-BE49-F238E27FC236}">
              <a16:creationId xmlns:a16="http://schemas.microsoft.com/office/drawing/2014/main" id="{C2A0E4F5-182A-4829-82DA-86882DB56F70}"/>
            </a:ext>
          </a:extLst>
        </xdr:cNvPr>
        <xdr:cNvSpPr txBox="1"/>
      </xdr:nvSpPr>
      <xdr:spPr>
        <a:xfrm>
          <a:off x="0" y="90678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2" name="Shape 10">
          <a:extLst>
            <a:ext uri="{FF2B5EF4-FFF2-40B4-BE49-F238E27FC236}">
              <a16:creationId xmlns:a16="http://schemas.microsoft.com/office/drawing/2014/main" id="{294D3502-A583-476C-B35D-445F7A70384E}"/>
            </a:ext>
          </a:extLst>
        </xdr:cNvPr>
        <xdr:cNvSpPr txBox="1"/>
      </xdr:nvSpPr>
      <xdr:spPr>
        <a:xfrm>
          <a:off x="4124325" y="89058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173" name="Shape 12">
          <a:extLst>
            <a:ext uri="{FF2B5EF4-FFF2-40B4-BE49-F238E27FC236}">
              <a16:creationId xmlns:a16="http://schemas.microsoft.com/office/drawing/2014/main" id="{B1E58613-3B14-45EF-964C-5A63A7BF5306}"/>
            </a:ext>
          </a:extLst>
        </xdr:cNvPr>
        <xdr:cNvSpPr txBox="1"/>
      </xdr:nvSpPr>
      <xdr:spPr>
        <a:xfrm>
          <a:off x="0" y="89058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4" name="Shape 11">
          <a:extLst>
            <a:ext uri="{FF2B5EF4-FFF2-40B4-BE49-F238E27FC236}">
              <a16:creationId xmlns:a16="http://schemas.microsoft.com/office/drawing/2014/main" id="{5F950181-443F-4641-89CA-B22D47F3993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75" name="Shape 10">
          <a:extLst>
            <a:ext uri="{FF2B5EF4-FFF2-40B4-BE49-F238E27FC236}">
              <a16:creationId xmlns:a16="http://schemas.microsoft.com/office/drawing/2014/main" id="{A14F53CD-25F6-4CFD-9CAC-5669C3540249}"/>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6" name="Shape 11">
          <a:extLst>
            <a:ext uri="{FF2B5EF4-FFF2-40B4-BE49-F238E27FC236}">
              <a16:creationId xmlns:a16="http://schemas.microsoft.com/office/drawing/2014/main" id="{50C78308-FEB3-4EC5-911A-503B137F124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7" name="Shape 11">
          <a:extLst>
            <a:ext uri="{FF2B5EF4-FFF2-40B4-BE49-F238E27FC236}">
              <a16:creationId xmlns:a16="http://schemas.microsoft.com/office/drawing/2014/main" id="{2D36295E-3D51-48C0-AEAD-CB4D124E8F0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8" name="Shape 11">
          <a:extLst>
            <a:ext uri="{FF2B5EF4-FFF2-40B4-BE49-F238E27FC236}">
              <a16:creationId xmlns:a16="http://schemas.microsoft.com/office/drawing/2014/main" id="{7ADC74D9-2AA0-4FFB-B4B8-7ED92116B12F}"/>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79" name="Shape 11">
          <a:extLst>
            <a:ext uri="{FF2B5EF4-FFF2-40B4-BE49-F238E27FC236}">
              <a16:creationId xmlns:a16="http://schemas.microsoft.com/office/drawing/2014/main" id="{770407EF-9E6E-4EB6-9912-5127165A451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0" name="Shape 11">
          <a:extLst>
            <a:ext uri="{FF2B5EF4-FFF2-40B4-BE49-F238E27FC236}">
              <a16:creationId xmlns:a16="http://schemas.microsoft.com/office/drawing/2014/main" id="{4C8F4079-AC2E-4916-82DA-8D48E8CC6F5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1" name="Shape 10">
          <a:extLst>
            <a:ext uri="{FF2B5EF4-FFF2-40B4-BE49-F238E27FC236}">
              <a16:creationId xmlns:a16="http://schemas.microsoft.com/office/drawing/2014/main" id="{86965594-E57A-48FB-91F8-F656CF17BE05}"/>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2" name="Shape 11">
          <a:extLst>
            <a:ext uri="{FF2B5EF4-FFF2-40B4-BE49-F238E27FC236}">
              <a16:creationId xmlns:a16="http://schemas.microsoft.com/office/drawing/2014/main" id="{F0935B0A-66A8-4415-BBB8-C46D1DA68DA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3" name="Shape 11">
          <a:extLst>
            <a:ext uri="{FF2B5EF4-FFF2-40B4-BE49-F238E27FC236}">
              <a16:creationId xmlns:a16="http://schemas.microsoft.com/office/drawing/2014/main" id="{C3D30378-D040-4C4D-8079-18789A1DC5B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4" name="Shape 11">
          <a:extLst>
            <a:ext uri="{FF2B5EF4-FFF2-40B4-BE49-F238E27FC236}">
              <a16:creationId xmlns:a16="http://schemas.microsoft.com/office/drawing/2014/main" id="{7D221210-52EE-4639-A4AD-C1D38EB6E66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5" name="Shape 11">
          <a:extLst>
            <a:ext uri="{FF2B5EF4-FFF2-40B4-BE49-F238E27FC236}">
              <a16:creationId xmlns:a16="http://schemas.microsoft.com/office/drawing/2014/main" id="{F5534B59-058D-4384-BDE5-7EC3F7BB80F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6" name="Shape 11">
          <a:extLst>
            <a:ext uri="{FF2B5EF4-FFF2-40B4-BE49-F238E27FC236}">
              <a16:creationId xmlns:a16="http://schemas.microsoft.com/office/drawing/2014/main" id="{C503FA9F-481B-484F-B8DC-6E35756EEA2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87" name="Shape 10">
          <a:extLst>
            <a:ext uri="{FF2B5EF4-FFF2-40B4-BE49-F238E27FC236}">
              <a16:creationId xmlns:a16="http://schemas.microsoft.com/office/drawing/2014/main" id="{F2AE8887-9B22-4A00-BFE9-DB2E7F5109AA}"/>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8" name="Shape 11">
          <a:extLst>
            <a:ext uri="{FF2B5EF4-FFF2-40B4-BE49-F238E27FC236}">
              <a16:creationId xmlns:a16="http://schemas.microsoft.com/office/drawing/2014/main" id="{A4AF9AE9-FE20-4C66-A52C-8949D9CB066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89" name="Shape 11">
          <a:extLst>
            <a:ext uri="{FF2B5EF4-FFF2-40B4-BE49-F238E27FC236}">
              <a16:creationId xmlns:a16="http://schemas.microsoft.com/office/drawing/2014/main" id="{D7030F94-486E-444D-9445-560D0315601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0" name="Shape 11">
          <a:extLst>
            <a:ext uri="{FF2B5EF4-FFF2-40B4-BE49-F238E27FC236}">
              <a16:creationId xmlns:a16="http://schemas.microsoft.com/office/drawing/2014/main" id="{D4354297-4E86-42D8-B75F-90AC1A6F75B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1" name="Shape 11">
          <a:extLst>
            <a:ext uri="{FF2B5EF4-FFF2-40B4-BE49-F238E27FC236}">
              <a16:creationId xmlns:a16="http://schemas.microsoft.com/office/drawing/2014/main" id="{61BEB19F-B1F1-44D8-A4E8-BC5A97AAB44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2" name="Shape 11">
          <a:extLst>
            <a:ext uri="{FF2B5EF4-FFF2-40B4-BE49-F238E27FC236}">
              <a16:creationId xmlns:a16="http://schemas.microsoft.com/office/drawing/2014/main" id="{7C3B50DA-D29C-4C59-8457-9475B123AC3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3" name="Shape 10">
          <a:extLst>
            <a:ext uri="{FF2B5EF4-FFF2-40B4-BE49-F238E27FC236}">
              <a16:creationId xmlns:a16="http://schemas.microsoft.com/office/drawing/2014/main" id="{32F5A3E1-A7EE-47A5-8385-620B4631B97E}"/>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4" name="Shape 11">
          <a:extLst>
            <a:ext uri="{FF2B5EF4-FFF2-40B4-BE49-F238E27FC236}">
              <a16:creationId xmlns:a16="http://schemas.microsoft.com/office/drawing/2014/main" id="{211D8496-3E54-4E33-AB6B-2B6080A93463}"/>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5" name="Shape 11">
          <a:extLst>
            <a:ext uri="{FF2B5EF4-FFF2-40B4-BE49-F238E27FC236}">
              <a16:creationId xmlns:a16="http://schemas.microsoft.com/office/drawing/2014/main" id="{0C26AE8D-EAED-4D58-844F-EF268B8B354A}"/>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6" name="Shape 11">
          <a:extLst>
            <a:ext uri="{FF2B5EF4-FFF2-40B4-BE49-F238E27FC236}">
              <a16:creationId xmlns:a16="http://schemas.microsoft.com/office/drawing/2014/main" id="{3777173C-6495-4E3E-95FA-505350CBCB8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7" name="Shape 11">
          <a:extLst>
            <a:ext uri="{FF2B5EF4-FFF2-40B4-BE49-F238E27FC236}">
              <a16:creationId xmlns:a16="http://schemas.microsoft.com/office/drawing/2014/main" id="{A266BF6A-169E-459A-977E-BC8499D3798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198" name="Shape 11">
          <a:extLst>
            <a:ext uri="{FF2B5EF4-FFF2-40B4-BE49-F238E27FC236}">
              <a16:creationId xmlns:a16="http://schemas.microsoft.com/office/drawing/2014/main" id="{1691E8EE-F18D-4D5A-9193-AA471B38C35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199" name="Shape 10">
          <a:extLst>
            <a:ext uri="{FF2B5EF4-FFF2-40B4-BE49-F238E27FC236}">
              <a16:creationId xmlns:a16="http://schemas.microsoft.com/office/drawing/2014/main" id="{0A65C1E7-2CEF-48C0-A7CE-203C1D49EDFC}"/>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0" name="Shape 11">
          <a:extLst>
            <a:ext uri="{FF2B5EF4-FFF2-40B4-BE49-F238E27FC236}">
              <a16:creationId xmlns:a16="http://schemas.microsoft.com/office/drawing/2014/main" id="{9D77C1F7-32F6-4423-A7A5-BD6CF2F7EED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1" name="Shape 11">
          <a:extLst>
            <a:ext uri="{FF2B5EF4-FFF2-40B4-BE49-F238E27FC236}">
              <a16:creationId xmlns:a16="http://schemas.microsoft.com/office/drawing/2014/main" id="{76692666-6E4B-46D2-82CC-CB60C9FE50CB}"/>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2" name="Shape 11">
          <a:extLst>
            <a:ext uri="{FF2B5EF4-FFF2-40B4-BE49-F238E27FC236}">
              <a16:creationId xmlns:a16="http://schemas.microsoft.com/office/drawing/2014/main" id="{9C71508F-0C1A-427A-96C6-AE95BA67ABC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3" name="Shape 11">
          <a:extLst>
            <a:ext uri="{FF2B5EF4-FFF2-40B4-BE49-F238E27FC236}">
              <a16:creationId xmlns:a16="http://schemas.microsoft.com/office/drawing/2014/main" id="{922BB567-0F91-4453-B6D7-A92A87347FC1}"/>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4" name="Shape 11">
          <a:extLst>
            <a:ext uri="{FF2B5EF4-FFF2-40B4-BE49-F238E27FC236}">
              <a16:creationId xmlns:a16="http://schemas.microsoft.com/office/drawing/2014/main" id="{0867CF8B-C732-4F62-99BE-75BB913E5368}"/>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05" name="Shape 10">
          <a:extLst>
            <a:ext uri="{FF2B5EF4-FFF2-40B4-BE49-F238E27FC236}">
              <a16:creationId xmlns:a16="http://schemas.microsoft.com/office/drawing/2014/main" id="{C9A1884E-E8A0-4C0F-9BB2-2BF1669F2656}"/>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6" name="Shape 11">
          <a:extLst>
            <a:ext uri="{FF2B5EF4-FFF2-40B4-BE49-F238E27FC236}">
              <a16:creationId xmlns:a16="http://schemas.microsoft.com/office/drawing/2014/main" id="{EF2E7F30-DEC9-41D3-AC3B-F9B11B53FCC6}"/>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7" name="Shape 11">
          <a:extLst>
            <a:ext uri="{FF2B5EF4-FFF2-40B4-BE49-F238E27FC236}">
              <a16:creationId xmlns:a16="http://schemas.microsoft.com/office/drawing/2014/main" id="{4B672054-F03D-4534-AA6B-35DE017A3040}"/>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8" name="Shape 11">
          <a:extLst>
            <a:ext uri="{FF2B5EF4-FFF2-40B4-BE49-F238E27FC236}">
              <a16:creationId xmlns:a16="http://schemas.microsoft.com/office/drawing/2014/main" id="{13B8CECD-77FD-4DAC-B572-57DC2673800C}"/>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09" name="Shape 11">
          <a:extLst>
            <a:ext uri="{FF2B5EF4-FFF2-40B4-BE49-F238E27FC236}">
              <a16:creationId xmlns:a16="http://schemas.microsoft.com/office/drawing/2014/main" id="{1E0383AA-A54A-4EED-9188-6F2EE577D375}"/>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0" name="Shape 11">
          <a:extLst>
            <a:ext uri="{FF2B5EF4-FFF2-40B4-BE49-F238E27FC236}">
              <a16:creationId xmlns:a16="http://schemas.microsoft.com/office/drawing/2014/main" id="{F8B60F54-ADDF-4F49-ACC9-547C498D9BE7}"/>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1" name="Shape 10">
          <a:extLst>
            <a:ext uri="{FF2B5EF4-FFF2-40B4-BE49-F238E27FC236}">
              <a16:creationId xmlns:a16="http://schemas.microsoft.com/office/drawing/2014/main" id="{793D545E-B117-4F52-802F-230CECE371AD}"/>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2" name="Shape 11">
          <a:extLst>
            <a:ext uri="{FF2B5EF4-FFF2-40B4-BE49-F238E27FC236}">
              <a16:creationId xmlns:a16="http://schemas.microsoft.com/office/drawing/2014/main" id="{F1208A24-1393-4230-9494-9ABDCE99C9EE}"/>
            </a:ext>
          </a:extLst>
        </xdr:cNvPr>
        <xdr:cNvSpPr txBox="1"/>
      </xdr:nvSpPr>
      <xdr:spPr>
        <a:xfrm>
          <a:off x="4124325" y="179736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3" name="Shape 13">
          <a:extLst>
            <a:ext uri="{FF2B5EF4-FFF2-40B4-BE49-F238E27FC236}">
              <a16:creationId xmlns:a16="http://schemas.microsoft.com/office/drawing/2014/main" id="{7263EB0C-FC61-4091-A354-4FF2C99A6686}"/>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4" name="Shape 14">
          <a:extLst>
            <a:ext uri="{FF2B5EF4-FFF2-40B4-BE49-F238E27FC236}">
              <a16:creationId xmlns:a16="http://schemas.microsoft.com/office/drawing/2014/main" id="{F62069F2-AC1A-4A1E-A0D1-8D62BFDDC27D}"/>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5" name="Shape 10">
          <a:extLst>
            <a:ext uri="{FF2B5EF4-FFF2-40B4-BE49-F238E27FC236}">
              <a16:creationId xmlns:a16="http://schemas.microsoft.com/office/drawing/2014/main" id="{47BC3F0F-AE8F-4B61-ADD0-5CD8A84387D1}"/>
            </a:ext>
          </a:extLst>
        </xdr:cNvPr>
        <xdr:cNvSpPr txBox="1"/>
      </xdr:nvSpPr>
      <xdr:spPr>
        <a:xfrm>
          <a:off x="4124325" y="181356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16" name="Shape 14">
          <a:extLst>
            <a:ext uri="{FF2B5EF4-FFF2-40B4-BE49-F238E27FC236}">
              <a16:creationId xmlns:a16="http://schemas.microsoft.com/office/drawing/2014/main" id="{0F07E5C2-0865-4D77-B9F6-459008A9E28E}"/>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7" name="Shape 11">
          <a:extLst>
            <a:ext uri="{FF2B5EF4-FFF2-40B4-BE49-F238E27FC236}">
              <a16:creationId xmlns:a16="http://schemas.microsoft.com/office/drawing/2014/main" id="{9D51AF88-486F-447E-B734-B4EE93A8647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18" name="Shape 10">
          <a:extLst>
            <a:ext uri="{FF2B5EF4-FFF2-40B4-BE49-F238E27FC236}">
              <a16:creationId xmlns:a16="http://schemas.microsoft.com/office/drawing/2014/main" id="{8538D216-043C-449B-93DF-7E3D3370FA5B}"/>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19" name="Shape 11">
          <a:extLst>
            <a:ext uri="{FF2B5EF4-FFF2-40B4-BE49-F238E27FC236}">
              <a16:creationId xmlns:a16="http://schemas.microsoft.com/office/drawing/2014/main" id="{2DDF9912-4AE1-45B0-A995-AE2BFFD8F7A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0" name="Shape 11">
          <a:extLst>
            <a:ext uri="{FF2B5EF4-FFF2-40B4-BE49-F238E27FC236}">
              <a16:creationId xmlns:a16="http://schemas.microsoft.com/office/drawing/2014/main" id="{3517A860-7A37-4636-9071-5991C1855E0D}"/>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1" name="Shape 11">
          <a:extLst>
            <a:ext uri="{FF2B5EF4-FFF2-40B4-BE49-F238E27FC236}">
              <a16:creationId xmlns:a16="http://schemas.microsoft.com/office/drawing/2014/main" id="{ED4737F7-F26E-4CDD-8B76-F2C119C3447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2" name="Shape 11">
          <a:extLst>
            <a:ext uri="{FF2B5EF4-FFF2-40B4-BE49-F238E27FC236}">
              <a16:creationId xmlns:a16="http://schemas.microsoft.com/office/drawing/2014/main" id="{C4E95010-C1CF-4FE8-984F-447A2E15FF3B}"/>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3" name="Shape 11">
          <a:extLst>
            <a:ext uri="{FF2B5EF4-FFF2-40B4-BE49-F238E27FC236}">
              <a16:creationId xmlns:a16="http://schemas.microsoft.com/office/drawing/2014/main" id="{1AAFC33C-7697-4B4C-8AD0-FA0AFB47E27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24" name="Shape 10">
          <a:extLst>
            <a:ext uri="{FF2B5EF4-FFF2-40B4-BE49-F238E27FC236}">
              <a16:creationId xmlns:a16="http://schemas.microsoft.com/office/drawing/2014/main" id="{083C7F25-7212-42BD-828C-427F03A8466D}"/>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5" name="Shape 11">
          <a:extLst>
            <a:ext uri="{FF2B5EF4-FFF2-40B4-BE49-F238E27FC236}">
              <a16:creationId xmlns:a16="http://schemas.microsoft.com/office/drawing/2014/main" id="{0C9D4E29-C119-4C0D-91B0-DC55B1BC2D8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6" name="Shape 11">
          <a:extLst>
            <a:ext uri="{FF2B5EF4-FFF2-40B4-BE49-F238E27FC236}">
              <a16:creationId xmlns:a16="http://schemas.microsoft.com/office/drawing/2014/main" id="{78A9C0E2-29BA-42FB-B553-A809019834D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7" name="Shape 11">
          <a:extLst>
            <a:ext uri="{FF2B5EF4-FFF2-40B4-BE49-F238E27FC236}">
              <a16:creationId xmlns:a16="http://schemas.microsoft.com/office/drawing/2014/main" id="{6C1FB5CB-9D36-4096-895E-659845407416}"/>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8" name="Shape 11">
          <a:extLst>
            <a:ext uri="{FF2B5EF4-FFF2-40B4-BE49-F238E27FC236}">
              <a16:creationId xmlns:a16="http://schemas.microsoft.com/office/drawing/2014/main" id="{446D2FD2-7B93-42E9-8419-210B2701634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29" name="Shape 11">
          <a:extLst>
            <a:ext uri="{FF2B5EF4-FFF2-40B4-BE49-F238E27FC236}">
              <a16:creationId xmlns:a16="http://schemas.microsoft.com/office/drawing/2014/main" id="{8663A4BE-DD34-4101-9E20-D1CBB849B5E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0" name="Shape 10">
          <a:extLst>
            <a:ext uri="{FF2B5EF4-FFF2-40B4-BE49-F238E27FC236}">
              <a16:creationId xmlns:a16="http://schemas.microsoft.com/office/drawing/2014/main" id="{4ECF3A1A-2743-441C-B28F-C7BB71083839}"/>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1" name="Shape 11">
          <a:extLst>
            <a:ext uri="{FF2B5EF4-FFF2-40B4-BE49-F238E27FC236}">
              <a16:creationId xmlns:a16="http://schemas.microsoft.com/office/drawing/2014/main" id="{2BFD5F32-B9D5-41B1-9266-8BE5EBA6054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2" name="Shape 11">
          <a:extLst>
            <a:ext uri="{FF2B5EF4-FFF2-40B4-BE49-F238E27FC236}">
              <a16:creationId xmlns:a16="http://schemas.microsoft.com/office/drawing/2014/main" id="{01891A26-994E-48E1-8F1A-F4CB0B90C1F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3" name="Shape 11">
          <a:extLst>
            <a:ext uri="{FF2B5EF4-FFF2-40B4-BE49-F238E27FC236}">
              <a16:creationId xmlns:a16="http://schemas.microsoft.com/office/drawing/2014/main" id="{2D37AFAE-7E13-4AAF-B0EF-F040AF22270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4" name="Shape 11">
          <a:extLst>
            <a:ext uri="{FF2B5EF4-FFF2-40B4-BE49-F238E27FC236}">
              <a16:creationId xmlns:a16="http://schemas.microsoft.com/office/drawing/2014/main" id="{E003501C-8B7E-4A23-8A9E-A9443C92D65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5" name="Shape 11">
          <a:extLst>
            <a:ext uri="{FF2B5EF4-FFF2-40B4-BE49-F238E27FC236}">
              <a16:creationId xmlns:a16="http://schemas.microsoft.com/office/drawing/2014/main" id="{5D441716-A968-4B6B-9012-7C8F33698DF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36" name="Shape 10">
          <a:extLst>
            <a:ext uri="{FF2B5EF4-FFF2-40B4-BE49-F238E27FC236}">
              <a16:creationId xmlns:a16="http://schemas.microsoft.com/office/drawing/2014/main" id="{DB7E6008-9835-4F9F-B562-82D7944DB8AA}"/>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7" name="Shape 11">
          <a:extLst>
            <a:ext uri="{FF2B5EF4-FFF2-40B4-BE49-F238E27FC236}">
              <a16:creationId xmlns:a16="http://schemas.microsoft.com/office/drawing/2014/main" id="{EB3AAE0C-D93C-4E31-9D47-B6C10522F6F4}"/>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8" name="Shape 11">
          <a:extLst>
            <a:ext uri="{FF2B5EF4-FFF2-40B4-BE49-F238E27FC236}">
              <a16:creationId xmlns:a16="http://schemas.microsoft.com/office/drawing/2014/main" id="{BD9F5A54-EF6F-4397-90B4-BA55957DF28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39" name="Shape 11">
          <a:extLst>
            <a:ext uri="{FF2B5EF4-FFF2-40B4-BE49-F238E27FC236}">
              <a16:creationId xmlns:a16="http://schemas.microsoft.com/office/drawing/2014/main" id="{57D6BA11-2DBF-43B6-AA8E-47833332B21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0" name="Shape 11">
          <a:extLst>
            <a:ext uri="{FF2B5EF4-FFF2-40B4-BE49-F238E27FC236}">
              <a16:creationId xmlns:a16="http://schemas.microsoft.com/office/drawing/2014/main" id="{D3CE8656-594E-4DAB-A8AF-4DDCC7F1C919}"/>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1" name="Shape 11">
          <a:extLst>
            <a:ext uri="{FF2B5EF4-FFF2-40B4-BE49-F238E27FC236}">
              <a16:creationId xmlns:a16="http://schemas.microsoft.com/office/drawing/2014/main" id="{70B73313-66DC-4EAC-9825-CC72418301F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2" name="Shape 10">
          <a:extLst>
            <a:ext uri="{FF2B5EF4-FFF2-40B4-BE49-F238E27FC236}">
              <a16:creationId xmlns:a16="http://schemas.microsoft.com/office/drawing/2014/main" id="{27C4590B-259A-4013-8001-50296469F12A}"/>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3" name="Shape 11">
          <a:extLst>
            <a:ext uri="{FF2B5EF4-FFF2-40B4-BE49-F238E27FC236}">
              <a16:creationId xmlns:a16="http://schemas.microsoft.com/office/drawing/2014/main" id="{996660AC-0042-41DB-A29D-443342B80CA2}"/>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4" name="Shape 11">
          <a:extLst>
            <a:ext uri="{FF2B5EF4-FFF2-40B4-BE49-F238E27FC236}">
              <a16:creationId xmlns:a16="http://schemas.microsoft.com/office/drawing/2014/main" id="{5D2210C2-F7F3-41B7-8966-CF40AE9699A1}"/>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5" name="Shape 11">
          <a:extLst>
            <a:ext uri="{FF2B5EF4-FFF2-40B4-BE49-F238E27FC236}">
              <a16:creationId xmlns:a16="http://schemas.microsoft.com/office/drawing/2014/main" id="{9279168C-C676-4518-A32D-C1FC026F226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6" name="Shape 11">
          <a:extLst>
            <a:ext uri="{FF2B5EF4-FFF2-40B4-BE49-F238E27FC236}">
              <a16:creationId xmlns:a16="http://schemas.microsoft.com/office/drawing/2014/main" id="{F2CF7050-0854-47AA-AA16-8A3CE8D6D3CF}"/>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7" name="Shape 11">
          <a:extLst>
            <a:ext uri="{FF2B5EF4-FFF2-40B4-BE49-F238E27FC236}">
              <a16:creationId xmlns:a16="http://schemas.microsoft.com/office/drawing/2014/main" id="{4DBDF101-E844-4C66-A338-7E11EF7CE093}"/>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48" name="Shape 10">
          <a:extLst>
            <a:ext uri="{FF2B5EF4-FFF2-40B4-BE49-F238E27FC236}">
              <a16:creationId xmlns:a16="http://schemas.microsoft.com/office/drawing/2014/main" id="{89CD426A-C6A9-4EA3-83EB-719C797E2DAE}"/>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49" name="Shape 11">
          <a:extLst>
            <a:ext uri="{FF2B5EF4-FFF2-40B4-BE49-F238E27FC236}">
              <a16:creationId xmlns:a16="http://schemas.microsoft.com/office/drawing/2014/main" id="{3D1AC231-5FE4-4976-9B25-C58F99A770B8}"/>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0" name="Shape 11">
          <a:extLst>
            <a:ext uri="{FF2B5EF4-FFF2-40B4-BE49-F238E27FC236}">
              <a16:creationId xmlns:a16="http://schemas.microsoft.com/office/drawing/2014/main" id="{99F9F8B4-1D2F-44EA-A072-2BF2DE7926C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1" name="Shape 11">
          <a:extLst>
            <a:ext uri="{FF2B5EF4-FFF2-40B4-BE49-F238E27FC236}">
              <a16:creationId xmlns:a16="http://schemas.microsoft.com/office/drawing/2014/main" id="{3E21E7F7-0592-473E-A9FD-34DDA2483BDA}"/>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2" name="Shape 11">
          <a:extLst>
            <a:ext uri="{FF2B5EF4-FFF2-40B4-BE49-F238E27FC236}">
              <a16:creationId xmlns:a16="http://schemas.microsoft.com/office/drawing/2014/main" id="{969B301F-1629-48AE-BE7C-F8A91C58EC1E}"/>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3" name="Shape 11">
          <a:extLst>
            <a:ext uri="{FF2B5EF4-FFF2-40B4-BE49-F238E27FC236}">
              <a16:creationId xmlns:a16="http://schemas.microsoft.com/office/drawing/2014/main" id="{16A10B8B-5303-4C8A-BD1B-7BAA38ABF310}"/>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4" name="Shape 10">
          <a:extLst>
            <a:ext uri="{FF2B5EF4-FFF2-40B4-BE49-F238E27FC236}">
              <a16:creationId xmlns:a16="http://schemas.microsoft.com/office/drawing/2014/main" id="{BCBCA190-2246-4C2D-8D75-EF5327A46478}"/>
            </a:ext>
          </a:extLst>
        </xdr:cNvPr>
        <xdr:cNvSpPr txBox="1"/>
      </xdr:nvSpPr>
      <xdr:spPr>
        <a:xfrm>
          <a:off x="4124325" y="178117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5" name="Shape 11">
          <a:extLst>
            <a:ext uri="{FF2B5EF4-FFF2-40B4-BE49-F238E27FC236}">
              <a16:creationId xmlns:a16="http://schemas.microsoft.com/office/drawing/2014/main" id="{8265A3ED-1395-4F46-ABBD-7AA213D90807}"/>
            </a:ext>
          </a:extLst>
        </xdr:cNvPr>
        <xdr:cNvSpPr txBox="1"/>
      </xdr:nvSpPr>
      <xdr:spPr>
        <a:xfrm>
          <a:off x="4124325" y="178117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56" name="Shape 13">
          <a:extLst>
            <a:ext uri="{FF2B5EF4-FFF2-40B4-BE49-F238E27FC236}">
              <a16:creationId xmlns:a16="http://schemas.microsoft.com/office/drawing/2014/main" id="{0B30530B-DA26-4B5E-B432-12FB86D9A6DB}"/>
            </a:ext>
          </a:extLst>
        </xdr:cNvPr>
        <xdr:cNvSpPr txBox="1"/>
      </xdr:nvSpPr>
      <xdr:spPr>
        <a:xfrm>
          <a:off x="4124325" y="181356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7" name="Shape 14">
          <a:extLst>
            <a:ext uri="{FF2B5EF4-FFF2-40B4-BE49-F238E27FC236}">
              <a16:creationId xmlns:a16="http://schemas.microsoft.com/office/drawing/2014/main" id="{2A0721D3-3101-4404-931D-6277909688FE}"/>
            </a:ext>
          </a:extLst>
        </xdr:cNvPr>
        <xdr:cNvSpPr txBox="1"/>
      </xdr:nvSpPr>
      <xdr:spPr>
        <a:xfrm>
          <a:off x="0" y="1813560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58" name="Shape 10">
          <a:extLst>
            <a:ext uri="{FF2B5EF4-FFF2-40B4-BE49-F238E27FC236}">
              <a16:creationId xmlns:a16="http://schemas.microsoft.com/office/drawing/2014/main" id="{C104DAC1-518E-4852-8849-D7E30586CCE1}"/>
            </a:ext>
          </a:extLst>
        </xdr:cNvPr>
        <xdr:cNvSpPr txBox="1"/>
      </xdr:nvSpPr>
      <xdr:spPr>
        <a:xfrm>
          <a:off x="4124325" y="179736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259" name="Shape 12">
          <a:extLst>
            <a:ext uri="{FF2B5EF4-FFF2-40B4-BE49-F238E27FC236}">
              <a16:creationId xmlns:a16="http://schemas.microsoft.com/office/drawing/2014/main" id="{15E19B1F-1F84-4ED1-8EE3-627956363BBD}"/>
            </a:ext>
          </a:extLst>
        </xdr:cNvPr>
        <xdr:cNvSpPr txBox="1"/>
      </xdr:nvSpPr>
      <xdr:spPr>
        <a:xfrm>
          <a:off x="0" y="179736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0" name="Shape 11">
          <a:extLst>
            <a:ext uri="{FF2B5EF4-FFF2-40B4-BE49-F238E27FC236}">
              <a16:creationId xmlns:a16="http://schemas.microsoft.com/office/drawing/2014/main" id="{B76A590A-45BC-4BC3-88AB-FD387318B2D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1" name="Shape 10">
          <a:extLst>
            <a:ext uri="{FF2B5EF4-FFF2-40B4-BE49-F238E27FC236}">
              <a16:creationId xmlns:a16="http://schemas.microsoft.com/office/drawing/2014/main" id="{C290D602-BD8A-4FBD-AACE-6C58085F9126}"/>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2" name="Shape 11">
          <a:extLst>
            <a:ext uri="{FF2B5EF4-FFF2-40B4-BE49-F238E27FC236}">
              <a16:creationId xmlns:a16="http://schemas.microsoft.com/office/drawing/2014/main" id="{3B45B4AA-C0CA-472F-BD9F-F2A957BC5B6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3" name="Shape 11">
          <a:extLst>
            <a:ext uri="{FF2B5EF4-FFF2-40B4-BE49-F238E27FC236}">
              <a16:creationId xmlns:a16="http://schemas.microsoft.com/office/drawing/2014/main" id="{B63A70DD-9EBA-4A73-B287-2A27CD1A08D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4" name="Shape 11">
          <a:extLst>
            <a:ext uri="{FF2B5EF4-FFF2-40B4-BE49-F238E27FC236}">
              <a16:creationId xmlns:a16="http://schemas.microsoft.com/office/drawing/2014/main" id="{E9A005A3-99D8-47C2-93B5-6ED572DD030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5" name="Shape 11">
          <a:extLst>
            <a:ext uri="{FF2B5EF4-FFF2-40B4-BE49-F238E27FC236}">
              <a16:creationId xmlns:a16="http://schemas.microsoft.com/office/drawing/2014/main" id="{3DF0D545-3B04-485E-8A1F-E4E5487E876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6" name="Shape 11">
          <a:extLst>
            <a:ext uri="{FF2B5EF4-FFF2-40B4-BE49-F238E27FC236}">
              <a16:creationId xmlns:a16="http://schemas.microsoft.com/office/drawing/2014/main" id="{E912B46E-4761-4DBA-83F0-18CA92767B2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67" name="Shape 10">
          <a:extLst>
            <a:ext uri="{FF2B5EF4-FFF2-40B4-BE49-F238E27FC236}">
              <a16:creationId xmlns:a16="http://schemas.microsoft.com/office/drawing/2014/main" id="{D0E61738-5CE2-4949-B6A5-F624ED83B8C6}"/>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8" name="Shape 11">
          <a:extLst>
            <a:ext uri="{FF2B5EF4-FFF2-40B4-BE49-F238E27FC236}">
              <a16:creationId xmlns:a16="http://schemas.microsoft.com/office/drawing/2014/main" id="{90799A8C-96F7-47BB-8C15-D34328ADD94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69" name="Shape 11">
          <a:extLst>
            <a:ext uri="{FF2B5EF4-FFF2-40B4-BE49-F238E27FC236}">
              <a16:creationId xmlns:a16="http://schemas.microsoft.com/office/drawing/2014/main" id="{E0590B20-2053-44AA-9918-D84121EDDE8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0" name="Shape 11">
          <a:extLst>
            <a:ext uri="{FF2B5EF4-FFF2-40B4-BE49-F238E27FC236}">
              <a16:creationId xmlns:a16="http://schemas.microsoft.com/office/drawing/2014/main" id="{9EC17C2A-C18F-44E8-B309-270B7AF667B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1" name="Shape 11">
          <a:extLst>
            <a:ext uri="{FF2B5EF4-FFF2-40B4-BE49-F238E27FC236}">
              <a16:creationId xmlns:a16="http://schemas.microsoft.com/office/drawing/2014/main" id="{03E4A2CA-5DF7-4862-9458-F74B7ECDE67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2" name="Shape 11">
          <a:extLst>
            <a:ext uri="{FF2B5EF4-FFF2-40B4-BE49-F238E27FC236}">
              <a16:creationId xmlns:a16="http://schemas.microsoft.com/office/drawing/2014/main" id="{2B6C0104-4C0E-4634-BA90-061515B21EA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3" name="Shape 10">
          <a:extLst>
            <a:ext uri="{FF2B5EF4-FFF2-40B4-BE49-F238E27FC236}">
              <a16:creationId xmlns:a16="http://schemas.microsoft.com/office/drawing/2014/main" id="{B2F25DA1-1E1B-4AE4-BB32-F773BDFE9306}"/>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4" name="Shape 11">
          <a:extLst>
            <a:ext uri="{FF2B5EF4-FFF2-40B4-BE49-F238E27FC236}">
              <a16:creationId xmlns:a16="http://schemas.microsoft.com/office/drawing/2014/main" id="{F684C83A-AAD9-4714-9222-21E4328469AF}"/>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5" name="Shape 11">
          <a:extLst>
            <a:ext uri="{FF2B5EF4-FFF2-40B4-BE49-F238E27FC236}">
              <a16:creationId xmlns:a16="http://schemas.microsoft.com/office/drawing/2014/main" id="{3D78A8BC-EA54-474B-ABCC-F56ECE58514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6" name="Shape 11">
          <a:extLst>
            <a:ext uri="{FF2B5EF4-FFF2-40B4-BE49-F238E27FC236}">
              <a16:creationId xmlns:a16="http://schemas.microsoft.com/office/drawing/2014/main" id="{CEB45F18-5284-4716-A4A2-380DB04BF99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7" name="Shape 11">
          <a:extLst>
            <a:ext uri="{FF2B5EF4-FFF2-40B4-BE49-F238E27FC236}">
              <a16:creationId xmlns:a16="http://schemas.microsoft.com/office/drawing/2014/main" id="{339F2BAB-1E84-41D7-960A-B73BA81FF766}"/>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78" name="Shape 11">
          <a:extLst>
            <a:ext uri="{FF2B5EF4-FFF2-40B4-BE49-F238E27FC236}">
              <a16:creationId xmlns:a16="http://schemas.microsoft.com/office/drawing/2014/main" id="{03C8FD9F-F471-4DC4-B387-0F38D4B4313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79" name="Shape 10">
          <a:extLst>
            <a:ext uri="{FF2B5EF4-FFF2-40B4-BE49-F238E27FC236}">
              <a16:creationId xmlns:a16="http://schemas.microsoft.com/office/drawing/2014/main" id="{9FAE106F-E885-426A-9822-FB6457DF986E}"/>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0" name="Shape 11">
          <a:extLst>
            <a:ext uri="{FF2B5EF4-FFF2-40B4-BE49-F238E27FC236}">
              <a16:creationId xmlns:a16="http://schemas.microsoft.com/office/drawing/2014/main" id="{A1A503BE-70D5-45AC-BF84-DB53C5965385}"/>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1" name="Shape 11">
          <a:extLst>
            <a:ext uri="{FF2B5EF4-FFF2-40B4-BE49-F238E27FC236}">
              <a16:creationId xmlns:a16="http://schemas.microsoft.com/office/drawing/2014/main" id="{8E03A3C4-24E3-44B7-8686-35928187BAB8}"/>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2" name="Shape 11">
          <a:extLst>
            <a:ext uri="{FF2B5EF4-FFF2-40B4-BE49-F238E27FC236}">
              <a16:creationId xmlns:a16="http://schemas.microsoft.com/office/drawing/2014/main" id="{6534A059-11C3-482B-BF45-CCD59EBA0E90}"/>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3" name="Shape 11">
          <a:extLst>
            <a:ext uri="{FF2B5EF4-FFF2-40B4-BE49-F238E27FC236}">
              <a16:creationId xmlns:a16="http://schemas.microsoft.com/office/drawing/2014/main" id="{3A5A1216-8828-4DB1-A331-78D5654542CD}"/>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4" name="Shape 11">
          <a:extLst>
            <a:ext uri="{FF2B5EF4-FFF2-40B4-BE49-F238E27FC236}">
              <a16:creationId xmlns:a16="http://schemas.microsoft.com/office/drawing/2014/main" id="{56F91176-75A5-49F2-8C04-7ECAB65E3871}"/>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85" name="Shape 10">
          <a:extLst>
            <a:ext uri="{FF2B5EF4-FFF2-40B4-BE49-F238E27FC236}">
              <a16:creationId xmlns:a16="http://schemas.microsoft.com/office/drawing/2014/main" id="{53211D50-742D-4133-83C8-5A6BBEF6028A}"/>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6" name="Shape 11">
          <a:extLst>
            <a:ext uri="{FF2B5EF4-FFF2-40B4-BE49-F238E27FC236}">
              <a16:creationId xmlns:a16="http://schemas.microsoft.com/office/drawing/2014/main" id="{16A2BB89-9EBC-43ED-9EF4-61950F317090}"/>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7" name="Shape 11">
          <a:extLst>
            <a:ext uri="{FF2B5EF4-FFF2-40B4-BE49-F238E27FC236}">
              <a16:creationId xmlns:a16="http://schemas.microsoft.com/office/drawing/2014/main" id="{AD761677-48D0-4CB2-AE8B-F32F13140F94}"/>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8" name="Shape 11">
          <a:extLst>
            <a:ext uri="{FF2B5EF4-FFF2-40B4-BE49-F238E27FC236}">
              <a16:creationId xmlns:a16="http://schemas.microsoft.com/office/drawing/2014/main" id="{87ACAB44-16E9-4081-AF3E-C4CE9BDC4A20}"/>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89" name="Shape 11">
          <a:extLst>
            <a:ext uri="{FF2B5EF4-FFF2-40B4-BE49-F238E27FC236}">
              <a16:creationId xmlns:a16="http://schemas.microsoft.com/office/drawing/2014/main" id="{FBD277F4-5287-4470-9737-A16C7A47DDBB}"/>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0" name="Shape 11">
          <a:extLst>
            <a:ext uri="{FF2B5EF4-FFF2-40B4-BE49-F238E27FC236}">
              <a16:creationId xmlns:a16="http://schemas.microsoft.com/office/drawing/2014/main" id="{04E7C390-A26A-4031-A28F-4F35FDE8235E}"/>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1" name="Shape 10">
          <a:extLst>
            <a:ext uri="{FF2B5EF4-FFF2-40B4-BE49-F238E27FC236}">
              <a16:creationId xmlns:a16="http://schemas.microsoft.com/office/drawing/2014/main" id="{10516BF5-5439-4C7B-A0A4-588B7CD602B7}"/>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2" name="Shape 11">
          <a:extLst>
            <a:ext uri="{FF2B5EF4-FFF2-40B4-BE49-F238E27FC236}">
              <a16:creationId xmlns:a16="http://schemas.microsoft.com/office/drawing/2014/main" id="{7E24C8A1-0473-42DC-AC74-93973041714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3" name="Shape 11">
          <a:extLst>
            <a:ext uri="{FF2B5EF4-FFF2-40B4-BE49-F238E27FC236}">
              <a16:creationId xmlns:a16="http://schemas.microsoft.com/office/drawing/2014/main" id="{5B421F50-4896-4600-BCC0-DD1771F73C03}"/>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4" name="Shape 11">
          <a:extLst>
            <a:ext uri="{FF2B5EF4-FFF2-40B4-BE49-F238E27FC236}">
              <a16:creationId xmlns:a16="http://schemas.microsoft.com/office/drawing/2014/main" id="{B050A82C-73B0-4ABA-B6F4-528A0765ED42}"/>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5" name="Shape 11">
          <a:extLst>
            <a:ext uri="{FF2B5EF4-FFF2-40B4-BE49-F238E27FC236}">
              <a16:creationId xmlns:a16="http://schemas.microsoft.com/office/drawing/2014/main" id="{877FFB57-95A2-416A-9B72-239895BDE47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6" name="Shape 11">
          <a:extLst>
            <a:ext uri="{FF2B5EF4-FFF2-40B4-BE49-F238E27FC236}">
              <a16:creationId xmlns:a16="http://schemas.microsoft.com/office/drawing/2014/main" id="{26BBEF92-51AB-4AC2-8937-7253B9C980F9}"/>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297" name="Shape 10">
          <a:extLst>
            <a:ext uri="{FF2B5EF4-FFF2-40B4-BE49-F238E27FC236}">
              <a16:creationId xmlns:a16="http://schemas.microsoft.com/office/drawing/2014/main" id="{A985120B-A6F1-490A-81A5-C88066D49247}"/>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8" name="Shape 11">
          <a:extLst>
            <a:ext uri="{FF2B5EF4-FFF2-40B4-BE49-F238E27FC236}">
              <a16:creationId xmlns:a16="http://schemas.microsoft.com/office/drawing/2014/main" id="{44DB6455-F5EE-42B2-A217-C81A1B2BC8BA}"/>
            </a:ext>
          </a:extLst>
        </xdr:cNvPr>
        <xdr:cNvSpPr txBox="1"/>
      </xdr:nvSpPr>
      <xdr:spPr>
        <a:xfrm>
          <a:off x="4124325" y="268795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299" name="Shape 13">
          <a:extLst>
            <a:ext uri="{FF2B5EF4-FFF2-40B4-BE49-F238E27FC236}">
              <a16:creationId xmlns:a16="http://schemas.microsoft.com/office/drawing/2014/main" id="{3F815E4C-1042-4EA5-B7C9-E2B2C5003088}"/>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0" name="Shape 14">
          <a:extLst>
            <a:ext uri="{FF2B5EF4-FFF2-40B4-BE49-F238E27FC236}">
              <a16:creationId xmlns:a16="http://schemas.microsoft.com/office/drawing/2014/main" id="{FC65AB5B-98CE-4345-998C-2676D4BC46DE}"/>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1" name="Shape 10">
          <a:extLst>
            <a:ext uri="{FF2B5EF4-FFF2-40B4-BE49-F238E27FC236}">
              <a16:creationId xmlns:a16="http://schemas.microsoft.com/office/drawing/2014/main" id="{4C56AADB-E5BA-4D6A-A6B0-B527A0EA036C}"/>
            </a:ext>
          </a:extLst>
        </xdr:cNvPr>
        <xdr:cNvSpPr txBox="1"/>
      </xdr:nvSpPr>
      <xdr:spPr>
        <a:xfrm>
          <a:off x="4124325" y="2704147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02" name="Shape 14">
          <a:extLst>
            <a:ext uri="{FF2B5EF4-FFF2-40B4-BE49-F238E27FC236}">
              <a16:creationId xmlns:a16="http://schemas.microsoft.com/office/drawing/2014/main" id="{C64E9D11-02E0-4243-B053-FED16D7BF7B4}"/>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3" name="Shape 11">
          <a:extLst>
            <a:ext uri="{FF2B5EF4-FFF2-40B4-BE49-F238E27FC236}">
              <a16:creationId xmlns:a16="http://schemas.microsoft.com/office/drawing/2014/main" id="{A3A55FA1-F140-4BC4-BF1A-9306DEAD139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04" name="Shape 10">
          <a:extLst>
            <a:ext uri="{FF2B5EF4-FFF2-40B4-BE49-F238E27FC236}">
              <a16:creationId xmlns:a16="http://schemas.microsoft.com/office/drawing/2014/main" id="{26FBA0B1-5C65-475F-8E07-613BD444D7BE}"/>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5" name="Shape 11">
          <a:extLst>
            <a:ext uri="{FF2B5EF4-FFF2-40B4-BE49-F238E27FC236}">
              <a16:creationId xmlns:a16="http://schemas.microsoft.com/office/drawing/2014/main" id="{4EB6A8BF-AD6B-4A0A-B6B2-ACEDF7A0312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6" name="Shape 11">
          <a:extLst>
            <a:ext uri="{FF2B5EF4-FFF2-40B4-BE49-F238E27FC236}">
              <a16:creationId xmlns:a16="http://schemas.microsoft.com/office/drawing/2014/main" id="{6F433627-AB71-414C-8400-1CA768E2294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7" name="Shape 11">
          <a:extLst>
            <a:ext uri="{FF2B5EF4-FFF2-40B4-BE49-F238E27FC236}">
              <a16:creationId xmlns:a16="http://schemas.microsoft.com/office/drawing/2014/main" id="{3885683F-855E-43E0-A425-514BAB4C2D1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8" name="Shape 11">
          <a:extLst>
            <a:ext uri="{FF2B5EF4-FFF2-40B4-BE49-F238E27FC236}">
              <a16:creationId xmlns:a16="http://schemas.microsoft.com/office/drawing/2014/main" id="{52CCDB50-965C-4E57-A465-35E543F22B6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09" name="Shape 11">
          <a:extLst>
            <a:ext uri="{FF2B5EF4-FFF2-40B4-BE49-F238E27FC236}">
              <a16:creationId xmlns:a16="http://schemas.microsoft.com/office/drawing/2014/main" id="{7B6DFF98-DBBC-456A-8833-BDD36C1F5B5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0" name="Shape 10">
          <a:extLst>
            <a:ext uri="{FF2B5EF4-FFF2-40B4-BE49-F238E27FC236}">
              <a16:creationId xmlns:a16="http://schemas.microsoft.com/office/drawing/2014/main" id="{37CCDFCB-B662-4B9B-AE2C-251F18863759}"/>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1" name="Shape 11">
          <a:extLst>
            <a:ext uri="{FF2B5EF4-FFF2-40B4-BE49-F238E27FC236}">
              <a16:creationId xmlns:a16="http://schemas.microsoft.com/office/drawing/2014/main" id="{CE022058-231C-46EC-A538-1720553A130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2" name="Shape 11">
          <a:extLst>
            <a:ext uri="{FF2B5EF4-FFF2-40B4-BE49-F238E27FC236}">
              <a16:creationId xmlns:a16="http://schemas.microsoft.com/office/drawing/2014/main" id="{C25474F7-F095-4DF7-B308-44B70EE38FB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3" name="Shape 11">
          <a:extLst>
            <a:ext uri="{FF2B5EF4-FFF2-40B4-BE49-F238E27FC236}">
              <a16:creationId xmlns:a16="http://schemas.microsoft.com/office/drawing/2014/main" id="{C156E50C-2203-43BC-BADD-2A64B298639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4" name="Shape 11">
          <a:extLst>
            <a:ext uri="{FF2B5EF4-FFF2-40B4-BE49-F238E27FC236}">
              <a16:creationId xmlns:a16="http://schemas.microsoft.com/office/drawing/2014/main" id="{2252BA65-272A-4122-8AEB-A7716703E84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5" name="Shape 11">
          <a:extLst>
            <a:ext uri="{FF2B5EF4-FFF2-40B4-BE49-F238E27FC236}">
              <a16:creationId xmlns:a16="http://schemas.microsoft.com/office/drawing/2014/main" id="{7D445346-1E00-4574-9BCD-6F008FDAE591}"/>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16" name="Shape 10">
          <a:extLst>
            <a:ext uri="{FF2B5EF4-FFF2-40B4-BE49-F238E27FC236}">
              <a16:creationId xmlns:a16="http://schemas.microsoft.com/office/drawing/2014/main" id="{6A996208-E976-4B72-9CAC-C0916489F3BC}"/>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7" name="Shape 11">
          <a:extLst>
            <a:ext uri="{FF2B5EF4-FFF2-40B4-BE49-F238E27FC236}">
              <a16:creationId xmlns:a16="http://schemas.microsoft.com/office/drawing/2014/main" id="{D99FE601-3D09-4AC0-BA38-6EC8FA4326C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8" name="Shape 11">
          <a:extLst>
            <a:ext uri="{FF2B5EF4-FFF2-40B4-BE49-F238E27FC236}">
              <a16:creationId xmlns:a16="http://schemas.microsoft.com/office/drawing/2014/main" id="{5D38922B-A483-412D-8CA4-2236776976CD}"/>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19" name="Shape 11">
          <a:extLst>
            <a:ext uri="{FF2B5EF4-FFF2-40B4-BE49-F238E27FC236}">
              <a16:creationId xmlns:a16="http://schemas.microsoft.com/office/drawing/2014/main" id="{8DF4ABA6-30B1-454A-9B13-5EC7FBEF68BF}"/>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0" name="Shape 11">
          <a:extLst>
            <a:ext uri="{FF2B5EF4-FFF2-40B4-BE49-F238E27FC236}">
              <a16:creationId xmlns:a16="http://schemas.microsoft.com/office/drawing/2014/main" id="{D9BAF3A6-0C4B-4CF8-BE03-07B6FD1932D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1" name="Shape 11">
          <a:extLst>
            <a:ext uri="{FF2B5EF4-FFF2-40B4-BE49-F238E27FC236}">
              <a16:creationId xmlns:a16="http://schemas.microsoft.com/office/drawing/2014/main" id="{025E0E69-7F2F-410A-BEE3-30AB3D77DDB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2" name="Shape 10">
          <a:extLst>
            <a:ext uri="{FF2B5EF4-FFF2-40B4-BE49-F238E27FC236}">
              <a16:creationId xmlns:a16="http://schemas.microsoft.com/office/drawing/2014/main" id="{EE2BD418-4C73-462B-A0FF-5384B3A78557}"/>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3" name="Shape 11">
          <a:extLst>
            <a:ext uri="{FF2B5EF4-FFF2-40B4-BE49-F238E27FC236}">
              <a16:creationId xmlns:a16="http://schemas.microsoft.com/office/drawing/2014/main" id="{D229FEED-76C7-4F8B-BCFC-C531C022F1F2}"/>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4" name="Shape 11">
          <a:extLst>
            <a:ext uri="{FF2B5EF4-FFF2-40B4-BE49-F238E27FC236}">
              <a16:creationId xmlns:a16="http://schemas.microsoft.com/office/drawing/2014/main" id="{A1FF2E92-2008-4FFE-9AF7-1F1FD4EB42DE}"/>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5" name="Shape 11">
          <a:extLst>
            <a:ext uri="{FF2B5EF4-FFF2-40B4-BE49-F238E27FC236}">
              <a16:creationId xmlns:a16="http://schemas.microsoft.com/office/drawing/2014/main" id="{56D7DB7D-C3A6-4F1F-BC4F-7EF8C12FBD5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6" name="Shape 11">
          <a:extLst>
            <a:ext uri="{FF2B5EF4-FFF2-40B4-BE49-F238E27FC236}">
              <a16:creationId xmlns:a16="http://schemas.microsoft.com/office/drawing/2014/main" id="{F3EB16C7-11C4-4072-B458-340E85309818}"/>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7" name="Shape 11">
          <a:extLst>
            <a:ext uri="{FF2B5EF4-FFF2-40B4-BE49-F238E27FC236}">
              <a16:creationId xmlns:a16="http://schemas.microsoft.com/office/drawing/2014/main" id="{7FCEEB06-32ED-4230-A0BF-679DD287D34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28" name="Shape 10">
          <a:extLst>
            <a:ext uri="{FF2B5EF4-FFF2-40B4-BE49-F238E27FC236}">
              <a16:creationId xmlns:a16="http://schemas.microsoft.com/office/drawing/2014/main" id="{0E729EEE-B8E4-478F-8677-11036B851AE4}"/>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29" name="Shape 11">
          <a:extLst>
            <a:ext uri="{FF2B5EF4-FFF2-40B4-BE49-F238E27FC236}">
              <a16:creationId xmlns:a16="http://schemas.microsoft.com/office/drawing/2014/main" id="{472F032C-11D7-414B-9605-B0A0166F1714}"/>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0" name="Shape 11">
          <a:extLst>
            <a:ext uri="{FF2B5EF4-FFF2-40B4-BE49-F238E27FC236}">
              <a16:creationId xmlns:a16="http://schemas.microsoft.com/office/drawing/2014/main" id="{D99E8341-0663-403B-AE66-84F69DBCE263}"/>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1" name="Shape 11">
          <a:extLst>
            <a:ext uri="{FF2B5EF4-FFF2-40B4-BE49-F238E27FC236}">
              <a16:creationId xmlns:a16="http://schemas.microsoft.com/office/drawing/2014/main" id="{F216EB16-EAA7-4327-B344-056B1EF89C5A}"/>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2" name="Shape 11">
          <a:extLst>
            <a:ext uri="{FF2B5EF4-FFF2-40B4-BE49-F238E27FC236}">
              <a16:creationId xmlns:a16="http://schemas.microsoft.com/office/drawing/2014/main" id="{C20D77EC-5CAD-4CAF-BC86-663C2790BC0B}"/>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3" name="Shape 11">
          <a:extLst>
            <a:ext uri="{FF2B5EF4-FFF2-40B4-BE49-F238E27FC236}">
              <a16:creationId xmlns:a16="http://schemas.microsoft.com/office/drawing/2014/main" id="{9B4262E7-738E-4258-B143-60DF38EBBF6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34" name="Shape 10">
          <a:extLst>
            <a:ext uri="{FF2B5EF4-FFF2-40B4-BE49-F238E27FC236}">
              <a16:creationId xmlns:a16="http://schemas.microsoft.com/office/drawing/2014/main" id="{5778450C-4D69-45A5-BE31-43AB07800E2C}"/>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5" name="Shape 11">
          <a:extLst>
            <a:ext uri="{FF2B5EF4-FFF2-40B4-BE49-F238E27FC236}">
              <a16:creationId xmlns:a16="http://schemas.microsoft.com/office/drawing/2014/main" id="{12673A67-F18D-445D-8853-0644065589E5}"/>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6" name="Shape 11">
          <a:extLst>
            <a:ext uri="{FF2B5EF4-FFF2-40B4-BE49-F238E27FC236}">
              <a16:creationId xmlns:a16="http://schemas.microsoft.com/office/drawing/2014/main" id="{C69BB3DE-1D5E-4F9D-A577-2D29D990C6A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7" name="Shape 11">
          <a:extLst>
            <a:ext uri="{FF2B5EF4-FFF2-40B4-BE49-F238E27FC236}">
              <a16:creationId xmlns:a16="http://schemas.microsoft.com/office/drawing/2014/main" id="{DC4598FC-7FDF-4528-98CB-640A48BE5A27}"/>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8" name="Shape 11">
          <a:extLst>
            <a:ext uri="{FF2B5EF4-FFF2-40B4-BE49-F238E27FC236}">
              <a16:creationId xmlns:a16="http://schemas.microsoft.com/office/drawing/2014/main" id="{225CA534-BCA9-4BC0-90A9-519ACA4E2A56}"/>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39" name="Shape 11">
          <a:extLst>
            <a:ext uri="{FF2B5EF4-FFF2-40B4-BE49-F238E27FC236}">
              <a16:creationId xmlns:a16="http://schemas.microsoft.com/office/drawing/2014/main" id="{09356EEA-7DF3-4740-A808-0E8B8FA9905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0" name="Shape 10">
          <a:extLst>
            <a:ext uri="{FF2B5EF4-FFF2-40B4-BE49-F238E27FC236}">
              <a16:creationId xmlns:a16="http://schemas.microsoft.com/office/drawing/2014/main" id="{008F712E-7C5B-4D7C-8D27-DD8B59C25840}"/>
            </a:ext>
          </a:extLst>
        </xdr:cNvPr>
        <xdr:cNvSpPr txBox="1"/>
      </xdr:nvSpPr>
      <xdr:spPr>
        <a:xfrm>
          <a:off x="4124325" y="267176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1" name="Shape 11">
          <a:extLst>
            <a:ext uri="{FF2B5EF4-FFF2-40B4-BE49-F238E27FC236}">
              <a16:creationId xmlns:a16="http://schemas.microsoft.com/office/drawing/2014/main" id="{B45F9063-B485-4929-92DF-E054470F9E90}"/>
            </a:ext>
          </a:extLst>
        </xdr:cNvPr>
        <xdr:cNvSpPr txBox="1"/>
      </xdr:nvSpPr>
      <xdr:spPr>
        <a:xfrm>
          <a:off x="4124325" y="267176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2" name="Shape 13">
          <a:extLst>
            <a:ext uri="{FF2B5EF4-FFF2-40B4-BE49-F238E27FC236}">
              <a16:creationId xmlns:a16="http://schemas.microsoft.com/office/drawing/2014/main" id="{4B8C3740-7C5F-434C-833E-C9593218169E}"/>
            </a:ext>
          </a:extLst>
        </xdr:cNvPr>
        <xdr:cNvSpPr txBox="1"/>
      </xdr:nvSpPr>
      <xdr:spPr>
        <a:xfrm>
          <a:off x="4124325" y="2704147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3" name="Shape 14">
          <a:extLst>
            <a:ext uri="{FF2B5EF4-FFF2-40B4-BE49-F238E27FC236}">
              <a16:creationId xmlns:a16="http://schemas.microsoft.com/office/drawing/2014/main" id="{5A360EEE-8186-4D0B-A9BF-4870A0387732}"/>
            </a:ext>
          </a:extLst>
        </xdr:cNvPr>
        <xdr:cNvSpPr txBox="1"/>
      </xdr:nvSpPr>
      <xdr:spPr>
        <a:xfrm>
          <a:off x="0" y="2704147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4" name="Shape 10">
          <a:extLst>
            <a:ext uri="{FF2B5EF4-FFF2-40B4-BE49-F238E27FC236}">
              <a16:creationId xmlns:a16="http://schemas.microsoft.com/office/drawing/2014/main" id="{194D933A-4D07-4DD7-8E61-27DC6F8EC21D}"/>
            </a:ext>
          </a:extLst>
        </xdr:cNvPr>
        <xdr:cNvSpPr txBox="1"/>
      </xdr:nvSpPr>
      <xdr:spPr>
        <a:xfrm>
          <a:off x="4124325" y="268795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45" name="Shape 12">
          <a:extLst>
            <a:ext uri="{FF2B5EF4-FFF2-40B4-BE49-F238E27FC236}">
              <a16:creationId xmlns:a16="http://schemas.microsoft.com/office/drawing/2014/main" id="{0570A2D4-B61A-4EC0-B592-2E1E66DF470B}"/>
            </a:ext>
          </a:extLst>
        </xdr:cNvPr>
        <xdr:cNvSpPr txBox="1"/>
      </xdr:nvSpPr>
      <xdr:spPr>
        <a:xfrm>
          <a:off x="0" y="268795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6" name="Shape 11">
          <a:extLst>
            <a:ext uri="{FF2B5EF4-FFF2-40B4-BE49-F238E27FC236}">
              <a16:creationId xmlns:a16="http://schemas.microsoft.com/office/drawing/2014/main" id="{5ED7DA80-1040-4220-8670-D16B8B6D202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47" name="Shape 10">
          <a:extLst>
            <a:ext uri="{FF2B5EF4-FFF2-40B4-BE49-F238E27FC236}">
              <a16:creationId xmlns:a16="http://schemas.microsoft.com/office/drawing/2014/main" id="{E7D95746-C402-4643-982C-87DC80601F91}"/>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8" name="Shape 11">
          <a:extLst>
            <a:ext uri="{FF2B5EF4-FFF2-40B4-BE49-F238E27FC236}">
              <a16:creationId xmlns:a16="http://schemas.microsoft.com/office/drawing/2014/main" id="{C714796C-889F-408B-A0CC-E49DFA5C7D6F}"/>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49" name="Shape 11">
          <a:extLst>
            <a:ext uri="{FF2B5EF4-FFF2-40B4-BE49-F238E27FC236}">
              <a16:creationId xmlns:a16="http://schemas.microsoft.com/office/drawing/2014/main" id="{DA621E87-5A99-4FE0-99D7-2DC440142CA0}"/>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0" name="Shape 11">
          <a:extLst>
            <a:ext uri="{FF2B5EF4-FFF2-40B4-BE49-F238E27FC236}">
              <a16:creationId xmlns:a16="http://schemas.microsoft.com/office/drawing/2014/main" id="{68D7E777-C708-4CB4-9915-16488329FCE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1" name="Shape 11">
          <a:extLst>
            <a:ext uri="{FF2B5EF4-FFF2-40B4-BE49-F238E27FC236}">
              <a16:creationId xmlns:a16="http://schemas.microsoft.com/office/drawing/2014/main" id="{BD4225B3-762E-4CD9-B242-65197941E3A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2" name="Shape 11">
          <a:extLst>
            <a:ext uri="{FF2B5EF4-FFF2-40B4-BE49-F238E27FC236}">
              <a16:creationId xmlns:a16="http://schemas.microsoft.com/office/drawing/2014/main" id="{6071920C-3F19-4ACD-961B-935C83FE40E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3" name="Shape 10">
          <a:extLst>
            <a:ext uri="{FF2B5EF4-FFF2-40B4-BE49-F238E27FC236}">
              <a16:creationId xmlns:a16="http://schemas.microsoft.com/office/drawing/2014/main" id="{79C67E07-1966-4B16-A398-F1A379CB7E39}"/>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4" name="Shape 11">
          <a:extLst>
            <a:ext uri="{FF2B5EF4-FFF2-40B4-BE49-F238E27FC236}">
              <a16:creationId xmlns:a16="http://schemas.microsoft.com/office/drawing/2014/main" id="{7976385C-C122-4675-A285-CDA03289F20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5" name="Shape 11">
          <a:extLst>
            <a:ext uri="{FF2B5EF4-FFF2-40B4-BE49-F238E27FC236}">
              <a16:creationId xmlns:a16="http://schemas.microsoft.com/office/drawing/2014/main" id="{BBE23534-7D87-470B-B6DB-AFC068582C2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6" name="Shape 11">
          <a:extLst>
            <a:ext uri="{FF2B5EF4-FFF2-40B4-BE49-F238E27FC236}">
              <a16:creationId xmlns:a16="http://schemas.microsoft.com/office/drawing/2014/main" id="{7923A16E-F486-47B9-945D-186DB63BDD4E}"/>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7" name="Shape 11">
          <a:extLst>
            <a:ext uri="{FF2B5EF4-FFF2-40B4-BE49-F238E27FC236}">
              <a16:creationId xmlns:a16="http://schemas.microsoft.com/office/drawing/2014/main" id="{22A46951-20E1-4D50-84FA-679F90CEA7A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58" name="Shape 11">
          <a:extLst>
            <a:ext uri="{FF2B5EF4-FFF2-40B4-BE49-F238E27FC236}">
              <a16:creationId xmlns:a16="http://schemas.microsoft.com/office/drawing/2014/main" id="{0E3A1AA1-F462-4554-B50F-177999470AC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59" name="Shape 10">
          <a:extLst>
            <a:ext uri="{FF2B5EF4-FFF2-40B4-BE49-F238E27FC236}">
              <a16:creationId xmlns:a16="http://schemas.microsoft.com/office/drawing/2014/main" id="{5526C3DD-F80B-43F3-825C-87C107E58DE3}"/>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0" name="Shape 11">
          <a:extLst>
            <a:ext uri="{FF2B5EF4-FFF2-40B4-BE49-F238E27FC236}">
              <a16:creationId xmlns:a16="http://schemas.microsoft.com/office/drawing/2014/main" id="{63B000DB-CD57-4912-A63A-ABA452599B9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1" name="Shape 11">
          <a:extLst>
            <a:ext uri="{FF2B5EF4-FFF2-40B4-BE49-F238E27FC236}">
              <a16:creationId xmlns:a16="http://schemas.microsoft.com/office/drawing/2014/main" id="{28A6AB7C-654E-493B-B5A1-DDA613508684}"/>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2" name="Shape 11">
          <a:extLst>
            <a:ext uri="{FF2B5EF4-FFF2-40B4-BE49-F238E27FC236}">
              <a16:creationId xmlns:a16="http://schemas.microsoft.com/office/drawing/2014/main" id="{195EEB86-59B5-4BA9-BDF2-E66D317B3BC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3" name="Shape 11">
          <a:extLst>
            <a:ext uri="{FF2B5EF4-FFF2-40B4-BE49-F238E27FC236}">
              <a16:creationId xmlns:a16="http://schemas.microsoft.com/office/drawing/2014/main" id="{46839829-80DE-45C4-9165-D1B05C169A6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4" name="Shape 11">
          <a:extLst>
            <a:ext uri="{FF2B5EF4-FFF2-40B4-BE49-F238E27FC236}">
              <a16:creationId xmlns:a16="http://schemas.microsoft.com/office/drawing/2014/main" id="{D7E2AF7E-A657-4FE2-81E8-1EDA7DFCE2E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65" name="Shape 10">
          <a:extLst>
            <a:ext uri="{FF2B5EF4-FFF2-40B4-BE49-F238E27FC236}">
              <a16:creationId xmlns:a16="http://schemas.microsoft.com/office/drawing/2014/main" id="{E800F1D2-D26C-45A0-93CE-7B25CB2CAD46}"/>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6" name="Shape 11">
          <a:extLst>
            <a:ext uri="{FF2B5EF4-FFF2-40B4-BE49-F238E27FC236}">
              <a16:creationId xmlns:a16="http://schemas.microsoft.com/office/drawing/2014/main" id="{FFFBC702-E8F1-413E-B93F-8AFDCCDED63B}"/>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7" name="Shape 11">
          <a:extLst>
            <a:ext uri="{FF2B5EF4-FFF2-40B4-BE49-F238E27FC236}">
              <a16:creationId xmlns:a16="http://schemas.microsoft.com/office/drawing/2014/main" id="{FEDE2FB6-71C6-4EED-A4D0-D64B1BA5814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8" name="Shape 11">
          <a:extLst>
            <a:ext uri="{FF2B5EF4-FFF2-40B4-BE49-F238E27FC236}">
              <a16:creationId xmlns:a16="http://schemas.microsoft.com/office/drawing/2014/main" id="{77DC0B95-D3DC-492B-84D6-D73CD596D19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69" name="Shape 11">
          <a:extLst>
            <a:ext uri="{FF2B5EF4-FFF2-40B4-BE49-F238E27FC236}">
              <a16:creationId xmlns:a16="http://schemas.microsoft.com/office/drawing/2014/main" id="{F3D2DEB7-157F-45D1-A55E-11280E15FF8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0" name="Shape 11">
          <a:extLst>
            <a:ext uri="{FF2B5EF4-FFF2-40B4-BE49-F238E27FC236}">
              <a16:creationId xmlns:a16="http://schemas.microsoft.com/office/drawing/2014/main" id="{AFAF7765-B425-4A91-801F-7B23A39CC59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1" name="Shape 10">
          <a:extLst>
            <a:ext uri="{FF2B5EF4-FFF2-40B4-BE49-F238E27FC236}">
              <a16:creationId xmlns:a16="http://schemas.microsoft.com/office/drawing/2014/main" id="{9935C8F9-7D4D-4003-B65A-B4C3AC701C1F}"/>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2" name="Shape 11">
          <a:extLst>
            <a:ext uri="{FF2B5EF4-FFF2-40B4-BE49-F238E27FC236}">
              <a16:creationId xmlns:a16="http://schemas.microsoft.com/office/drawing/2014/main" id="{CE5BBD43-02FB-4FA0-A916-578D1049D4A3}"/>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3" name="Shape 11">
          <a:extLst>
            <a:ext uri="{FF2B5EF4-FFF2-40B4-BE49-F238E27FC236}">
              <a16:creationId xmlns:a16="http://schemas.microsoft.com/office/drawing/2014/main" id="{D3843B46-EF77-4CE1-A08A-626D73565026}"/>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4" name="Shape 11">
          <a:extLst>
            <a:ext uri="{FF2B5EF4-FFF2-40B4-BE49-F238E27FC236}">
              <a16:creationId xmlns:a16="http://schemas.microsoft.com/office/drawing/2014/main" id="{3FC142C3-3420-46F3-8DE0-560E0C84EE6C}"/>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5" name="Shape 11">
          <a:extLst>
            <a:ext uri="{FF2B5EF4-FFF2-40B4-BE49-F238E27FC236}">
              <a16:creationId xmlns:a16="http://schemas.microsoft.com/office/drawing/2014/main" id="{B07B5358-D2A6-474F-90D4-06238A93CBBD}"/>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6" name="Shape 11">
          <a:extLst>
            <a:ext uri="{FF2B5EF4-FFF2-40B4-BE49-F238E27FC236}">
              <a16:creationId xmlns:a16="http://schemas.microsoft.com/office/drawing/2014/main" id="{138D8872-51A3-4FE6-B80D-F9A37EF39E2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77" name="Shape 10">
          <a:extLst>
            <a:ext uri="{FF2B5EF4-FFF2-40B4-BE49-F238E27FC236}">
              <a16:creationId xmlns:a16="http://schemas.microsoft.com/office/drawing/2014/main" id="{AE122A06-B04C-4C6F-B11C-D313C533A24D}"/>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8" name="Shape 11">
          <a:extLst>
            <a:ext uri="{FF2B5EF4-FFF2-40B4-BE49-F238E27FC236}">
              <a16:creationId xmlns:a16="http://schemas.microsoft.com/office/drawing/2014/main" id="{FFF3231A-34B2-4DC2-B1ED-8F3BB9DF4879}"/>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79" name="Shape 11">
          <a:extLst>
            <a:ext uri="{FF2B5EF4-FFF2-40B4-BE49-F238E27FC236}">
              <a16:creationId xmlns:a16="http://schemas.microsoft.com/office/drawing/2014/main" id="{9A2A65AF-9BC0-445E-9774-298E9FD3EE4A}"/>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0" name="Shape 11">
          <a:extLst>
            <a:ext uri="{FF2B5EF4-FFF2-40B4-BE49-F238E27FC236}">
              <a16:creationId xmlns:a16="http://schemas.microsoft.com/office/drawing/2014/main" id="{8505E33D-D57F-4AD7-9569-D6E6A301E268}"/>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1" name="Shape 11">
          <a:extLst>
            <a:ext uri="{FF2B5EF4-FFF2-40B4-BE49-F238E27FC236}">
              <a16:creationId xmlns:a16="http://schemas.microsoft.com/office/drawing/2014/main" id="{95FFA38B-1562-41A6-BE6B-774319E07A52}"/>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2" name="Shape 11">
          <a:extLst>
            <a:ext uri="{FF2B5EF4-FFF2-40B4-BE49-F238E27FC236}">
              <a16:creationId xmlns:a16="http://schemas.microsoft.com/office/drawing/2014/main" id="{9C3FAE83-2A58-41E3-8D68-9508B02DD005}"/>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3" name="Shape 10">
          <a:extLst>
            <a:ext uri="{FF2B5EF4-FFF2-40B4-BE49-F238E27FC236}">
              <a16:creationId xmlns:a16="http://schemas.microsoft.com/office/drawing/2014/main" id="{C99A836E-D25D-45B6-BB5E-D8DBC9AC4D02}"/>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4" name="Shape 11">
          <a:extLst>
            <a:ext uri="{FF2B5EF4-FFF2-40B4-BE49-F238E27FC236}">
              <a16:creationId xmlns:a16="http://schemas.microsoft.com/office/drawing/2014/main" id="{EECCD1B7-90D0-4881-89B4-B8B6102C4127}"/>
            </a:ext>
          </a:extLst>
        </xdr:cNvPr>
        <xdr:cNvSpPr txBox="1"/>
      </xdr:nvSpPr>
      <xdr:spPr>
        <a:xfrm>
          <a:off x="4124325" y="357854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5" name="Shape 13">
          <a:extLst>
            <a:ext uri="{FF2B5EF4-FFF2-40B4-BE49-F238E27FC236}">
              <a16:creationId xmlns:a16="http://schemas.microsoft.com/office/drawing/2014/main" id="{F6518E7E-AA9B-46D0-B8D1-6B745410B640}"/>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6" name="Shape 14">
          <a:extLst>
            <a:ext uri="{FF2B5EF4-FFF2-40B4-BE49-F238E27FC236}">
              <a16:creationId xmlns:a16="http://schemas.microsoft.com/office/drawing/2014/main" id="{451C2FFA-A033-491E-AF46-709B79F77085}"/>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87" name="Shape 10">
          <a:extLst>
            <a:ext uri="{FF2B5EF4-FFF2-40B4-BE49-F238E27FC236}">
              <a16:creationId xmlns:a16="http://schemas.microsoft.com/office/drawing/2014/main" id="{ADCDFD43-229A-4D4C-928D-152E46ABC4A8}"/>
            </a:ext>
          </a:extLst>
        </xdr:cNvPr>
        <xdr:cNvSpPr txBox="1"/>
      </xdr:nvSpPr>
      <xdr:spPr>
        <a:xfrm>
          <a:off x="4124325" y="3594735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388" name="Shape 14">
          <a:extLst>
            <a:ext uri="{FF2B5EF4-FFF2-40B4-BE49-F238E27FC236}">
              <a16:creationId xmlns:a16="http://schemas.microsoft.com/office/drawing/2014/main" id="{8A9CED90-BF89-45D4-8F29-0B03A8F3616C}"/>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89" name="Shape 11">
          <a:extLst>
            <a:ext uri="{FF2B5EF4-FFF2-40B4-BE49-F238E27FC236}">
              <a16:creationId xmlns:a16="http://schemas.microsoft.com/office/drawing/2014/main" id="{DA123AA9-60D6-40E3-9E17-7000112F0B7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0" name="Shape 10">
          <a:extLst>
            <a:ext uri="{FF2B5EF4-FFF2-40B4-BE49-F238E27FC236}">
              <a16:creationId xmlns:a16="http://schemas.microsoft.com/office/drawing/2014/main" id="{F7D4CD90-27FD-4ECB-9BFC-52EA265E349C}"/>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1" name="Shape 11">
          <a:extLst>
            <a:ext uri="{FF2B5EF4-FFF2-40B4-BE49-F238E27FC236}">
              <a16:creationId xmlns:a16="http://schemas.microsoft.com/office/drawing/2014/main" id="{3A6BCDEC-59BA-4BA3-A0FB-D0E660C9EFF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2" name="Shape 11">
          <a:extLst>
            <a:ext uri="{FF2B5EF4-FFF2-40B4-BE49-F238E27FC236}">
              <a16:creationId xmlns:a16="http://schemas.microsoft.com/office/drawing/2014/main" id="{59669468-94B2-4F29-B97A-F32EA8EF24F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3" name="Shape 11">
          <a:extLst>
            <a:ext uri="{FF2B5EF4-FFF2-40B4-BE49-F238E27FC236}">
              <a16:creationId xmlns:a16="http://schemas.microsoft.com/office/drawing/2014/main" id="{7A5E49B3-5955-464C-BABD-9B572273528E}"/>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4" name="Shape 11">
          <a:extLst>
            <a:ext uri="{FF2B5EF4-FFF2-40B4-BE49-F238E27FC236}">
              <a16:creationId xmlns:a16="http://schemas.microsoft.com/office/drawing/2014/main" id="{3D129E23-B802-4C64-BFA7-E83E8C8419E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5" name="Shape 11">
          <a:extLst>
            <a:ext uri="{FF2B5EF4-FFF2-40B4-BE49-F238E27FC236}">
              <a16:creationId xmlns:a16="http://schemas.microsoft.com/office/drawing/2014/main" id="{8AE0ED05-96E1-42B7-8108-85D25546087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396" name="Shape 10">
          <a:extLst>
            <a:ext uri="{FF2B5EF4-FFF2-40B4-BE49-F238E27FC236}">
              <a16:creationId xmlns:a16="http://schemas.microsoft.com/office/drawing/2014/main" id="{4610FDA7-5AA2-482A-AB56-BA2FDBEBDBBD}"/>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7" name="Shape 11">
          <a:extLst>
            <a:ext uri="{FF2B5EF4-FFF2-40B4-BE49-F238E27FC236}">
              <a16:creationId xmlns:a16="http://schemas.microsoft.com/office/drawing/2014/main" id="{0E90BE85-965B-4F5E-8727-C3195CE8556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8" name="Shape 11">
          <a:extLst>
            <a:ext uri="{FF2B5EF4-FFF2-40B4-BE49-F238E27FC236}">
              <a16:creationId xmlns:a16="http://schemas.microsoft.com/office/drawing/2014/main" id="{F8C89155-1832-4403-8224-A0F47BD8D91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399" name="Shape 11">
          <a:extLst>
            <a:ext uri="{FF2B5EF4-FFF2-40B4-BE49-F238E27FC236}">
              <a16:creationId xmlns:a16="http://schemas.microsoft.com/office/drawing/2014/main" id="{BC7BD894-2E91-43B7-9071-4F65DC5FF951}"/>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0" name="Shape 11">
          <a:extLst>
            <a:ext uri="{FF2B5EF4-FFF2-40B4-BE49-F238E27FC236}">
              <a16:creationId xmlns:a16="http://schemas.microsoft.com/office/drawing/2014/main" id="{9684B776-B97F-43E6-AF1D-8560B1F3D1B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1" name="Shape 11">
          <a:extLst>
            <a:ext uri="{FF2B5EF4-FFF2-40B4-BE49-F238E27FC236}">
              <a16:creationId xmlns:a16="http://schemas.microsoft.com/office/drawing/2014/main" id="{B3190463-9AA9-4FD1-8FC5-3732668F966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2" name="Shape 10">
          <a:extLst>
            <a:ext uri="{FF2B5EF4-FFF2-40B4-BE49-F238E27FC236}">
              <a16:creationId xmlns:a16="http://schemas.microsoft.com/office/drawing/2014/main" id="{1F7F3C21-C544-4416-900E-2EAC55812795}"/>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3" name="Shape 11">
          <a:extLst>
            <a:ext uri="{FF2B5EF4-FFF2-40B4-BE49-F238E27FC236}">
              <a16:creationId xmlns:a16="http://schemas.microsoft.com/office/drawing/2014/main" id="{BCE34029-D96B-4B74-BCBF-A66B4D10235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4" name="Shape 11">
          <a:extLst>
            <a:ext uri="{FF2B5EF4-FFF2-40B4-BE49-F238E27FC236}">
              <a16:creationId xmlns:a16="http://schemas.microsoft.com/office/drawing/2014/main" id="{B75DE3C7-7CAE-4FFC-AD30-E77714D5960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5" name="Shape 11">
          <a:extLst>
            <a:ext uri="{FF2B5EF4-FFF2-40B4-BE49-F238E27FC236}">
              <a16:creationId xmlns:a16="http://schemas.microsoft.com/office/drawing/2014/main" id="{2724DF6A-9025-47FB-9760-E32E549842A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6" name="Shape 11">
          <a:extLst>
            <a:ext uri="{FF2B5EF4-FFF2-40B4-BE49-F238E27FC236}">
              <a16:creationId xmlns:a16="http://schemas.microsoft.com/office/drawing/2014/main" id="{6E290EC4-83D4-4CC8-A118-A9B7C4FE9CE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7" name="Shape 11">
          <a:extLst>
            <a:ext uri="{FF2B5EF4-FFF2-40B4-BE49-F238E27FC236}">
              <a16:creationId xmlns:a16="http://schemas.microsoft.com/office/drawing/2014/main" id="{7252DEBB-B133-4BF7-ACC1-60B87F432FF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08" name="Shape 10">
          <a:extLst>
            <a:ext uri="{FF2B5EF4-FFF2-40B4-BE49-F238E27FC236}">
              <a16:creationId xmlns:a16="http://schemas.microsoft.com/office/drawing/2014/main" id="{89B6F754-9321-4E8E-A880-043F64DC2569}"/>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09" name="Shape 11">
          <a:extLst>
            <a:ext uri="{FF2B5EF4-FFF2-40B4-BE49-F238E27FC236}">
              <a16:creationId xmlns:a16="http://schemas.microsoft.com/office/drawing/2014/main" id="{605EDD44-759A-498E-8805-D9BB5362C1D3}"/>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0" name="Shape 11">
          <a:extLst>
            <a:ext uri="{FF2B5EF4-FFF2-40B4-BE49-F238E27FC236}">
              <a16:creationId xmlns:a16="http://schemas.microsoft.com/office/drawing/2014/main" id="{A8DC5027-9E6F-4206-AF54-A9670E9F354D}"/>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1" name="Shape 11">
          <a:extLst>
            <a:ext uri="{FF2B5EF4-FFF2-40B4-BE49-F238E27FC236}">
              <a16:creationId xmlns:a16="http://schemas.microsoft.com/office/drawing/2014/main" id="{DCE7E8C2-F2B2-4D2B-85E9-A82E4E504AA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2" name="Shape 11">
          <a:extLst>
            <a:ext uri="{FF2B5EF4-FFF2-40B4-BE49-F238E27FC236}">
              <a16:creationId xmlns:a16="http://schemas.microsoft.com/office/drawing/2014/main" id="{8EFFA52C-7B75-476B-B9BD-EEAAAF3D242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3" name="Shape 11">
          <a:extLst>
            <a:ext uri="{FF2B5EF4-FFF2-40B4-BE49-F238E27FC236}">
              <a16:creationId xmlns:a16="http://schemas.microsoft.com/office/drawing/2014/main" id="{34A20CCD-3FEB-460D-932E-770229E6AD26}"/>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14" name="Shape 10">
          <a:extLst>
            <a:ext uri="{FF2B5EF4-FFF2-40B4-BE49-F238E27FC236}">
              <a16:creationId xmlns:a16="http://schemas.microsoft.com/office/drawing/2014/main" id="{77C24D43-0405-4F48-AECD-33CDF9DD72B5}"/>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5" name="Shape 11">
          <a:extLst>
            <a:ext uri="{FF2B5EF4-FFF2-40B4-BE49-F238E27FC236}">
              <a16:creationId xmlns:a16="http://schemas.microsoft.com/office/drawing/2014/main" id="{888529CE-7D30-4821-B3D0-711ACD564C04}"/>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6" name="Shape 11">
          <a:extLst>
            <a:ext uri="{FF2B5EF4-FFF2-40B4-BE49-F238E27FC236}">
              <a16:creationId xmlns:a16="http://schemas.microsoft.com/office/drawing/2014/main" id="{C604EB55-DF9D-46DC-BF34-81405878C0C7}"/>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7" name="Shape 11">
          <a:extLst>
            <a:ext uri="{FF2B5EF4-FFF2-40B4-BE49-F238E27FC236}">
              <a16:creationId xmlns:a16="http://schemas.microsoft.com/office/drawing/2014/main" id="{13731874-CB47-4867-8DB3-524854BA987A}"/>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8" name="Shape 11">
          <a:extLst>
            <a:ext uri="{FF2B5EF4-FFF2-40B4-BE49-F238E27FC236}">
              <a16:creationId xmlns:a16="http://schemas.microsoft.com/office/drawing/2014/main" id="{C1F43035-7770-4F50-8D87-670B3CF6B2D0}"/>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19" name="Shape 11">
          <a:extLst>
            <a:ext uri="{FF2B5EF4-FFF2-40B4-BE49-F238E27FC236}">
              <a16:creationId xmlns:a16="http://schemas.microsoft.com/office/drawing/2014/main" id="{AE9840E2-639C-4AD9-BDA1-F4B411BEC1A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0" name="Shape 10">
          <a:extLst>
            <a:ext uri="{FF2B5EF4-FFF2-40B4-BE49-F238E27FC236}">
              <a16:creationId xmlns:a16="http://schemas.microsoft.com/office/drawing/2014/main" id="{FA066943-F41B-4148-B788-45462A8B9E17}"/>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1" name="Shape 11">
          <a:extLst>
            <a:ext uri="{FF2B5EF4-FFF2-40B4-BE49-F238E27FC236}">
              <a16:creationId xmlns:a16="http://schemas.microsoft.com/office/drawing/2014/main" id="{07A4A85D-2E4C-4233-8BCA-21AE43C83AF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2" name="Shape 11">
          <a:extLst>
            <a:ext uri="{FF2B5EF4-FFF2-40B4-BE49-F238E27FC236}">
              <a16:creationId xmlns:a16="http://schemas.microsoft.com/office/drawing/2014/main" id="{B9E0D700-EF02-4750-A11C-14DCC511E8F5}"/>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3" name="Shape 11">
          <a:extLst>
            <a:ext uri="{FF2B5EF4-FFF2-40B4-BE49-F238E27FC236}">
              <a16:creationId xmlns:a16="http://schemas.microsoft.com/office/drawing/2014/main" id="{B5A2DF2B-1892-4F86-9A2A-2C2DF1DBE37C}"/>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4" name="Shape 11">
          <a:extLst>
            <a:ext uri="{FF2B5EF4-FFF2-40B4-BE49-F238E27FC236}">
              <a16:creationId xmlns:a16="http://schemas.microsoft.com/office/drawing/2014/main" id="{4DB56AC5-0DF4-4329-B4BB-A4E3EBB2BEB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5" name="Shape 11">
          <a:extLst>
            <a:ext uri="{FF2B5EF4-FFF2-40B4-BE49-F238E27FC236}">
              <a16:creationId xmlns:a16="http://schemas.microsoft.com/office/drawing/2014/main" id="{B0126C30-613E-454A-9BD0-7BA052F6F70F}"/>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26" name="Shape 10">
          <a:extLst>
            <a:ext uri="{FF2B5EF4-FFF2-40B4-BE49-F238E27FC236}">
              <a16:creationId xmlns:a16="http://schemas.microsoft.com/office/drawing/2014/main" id="{EAB1D84B-C298-4C87-A1A1-D01F8D679F7F}"/>
            </a:ext>
          </a:extLst>
        </xdr:cNvPr>
        <xdr:cNvSpPr txBox="1"/>
      </xdr:nvSpPr>
      <xdr:spPr>
        <a:xfrm>
          <a:off x="4124325" y="35623500"/>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7" name="Shape 11">
          <a:extLst>
            <a:ext uri="{FF2B5EF4-FFF2-40B4-BE49-F238E27FC236}">
              <a16:creationId xmlns:a16="http://schemas.microsoft.com/office/drawing/2014/main" id="{7D1203B4-1D36-48D4-AEBF-D07ADBC22219}"/>
            </a:ext>
          </a:extLst>
        </xdr:cNvPr>
        <xdr:cNvSpPr txBox="1"/>
      </xdr:nvSpPr>
      <xdr:spPr>
        <a:xfrm>
          <a:off x="4124325" y="3562350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9550"/>
    <xdr:sp macro="" textlink="">
      <xdr:nvSpPr>
        <xdr:cNvPr id="428" name="Shape 13">
          <a:extLst>
            <a:ext uri="{FF2B5EF4-FFF2-40B4-BE49-F238E27FC236}">
              <a16:creationId xmlns:a16="http://schemas.microsoft.com/office/drawing/2014/main" id="{5707CEC5-C2D1-4E2D-BAE1-FF533CA8D367}"/>
            </a:ext>
          </a:extLst>
        </xdr:cNvPr>
        <xdr:cNvSpPr txBox="1"/>
      </xdr:nvSpPr>
      <xdr:spPr>
        <a:xfrm>
          <a:off x="4124325" y="35947350"/>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29" name="Shape 14">
          <a:extLst>
            <a:ext uri="{FF2B5EF4-FFF2-40B4-BE49-F238E27FC236}">
              <a16:creationId xmlns:a16="http://schemas.microsoft.com/office/drawing/2014/main" id="{F9959766-A30F-4902-8131-2B90E98BFEFB}"/>
            </a:ext>
          </a:extLst>
        </xdr:cNvPr>
        <xdr:cNvSpPr txBox="1"/>
      </xdr:nvSpPr>
      <xdr:spPr>
        <a:xfrm>
          <a:off x="0" y="35947350"/>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54</xdr:row>
      <xdr:rowOff>0</xdr:rowOff>
    </xdr:from>
    <xdr:ext cx="85725" cy="200025"/>
    <xdr:sp macro="" textlink="">
      <xdr:nvSpPr>
        <xdr:cNvPr id="430" name="Shape 10">
          <a:extLst>
            <a:ext uri="{FF2B5EF4-FFF2-40B4-BE49-F238E27FC236}">
              <a16:creationId xmlns:a16="http://schemas.microsoft.com/office/drawing/2014/main" id="{B92976DF-2390-4534-99D7-386488460791}"/>
            </a:ext>
          </a:extLst>
        </xdr:cNvPr>
        <xdr:cNvSpPr txBox="1"/>
      </xdr:nvSpPr>
      <xdr:spPr>
        <a:xfrm>
          <a:off x="4124325" y="3578542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54</xdr:row>
      <xdr:rowOff>0</xdr:rowOff>
    </xdr:from>
    <xdr:ext cx="38100" cy="104775"/>
    <xdr:sp macro="" textlink="">
      <xdr:nvSpPr>
        <xdr:cNvPr id="431" name="Shape 12">
          <a:extLst>
            <a:ext uri="{FF2B5EF4-FFF2-40B4-BE49-F238E27FC236}">
              <a16:creationId xmlns:a16="http://schemas.microsoft.com/office/drawing/2014/main" id="{D3821DF3-8D8C-4C4C-99C5-3D32BBDFCC94}"/>
            </a:ext>
          </a:extLst>
        </xdr:cNvPr>
        <xdr:cNvSpPr txBox="1"/>
      </xdr:nvSpPr>
      <xdr:spPr>
        <a:xfrm>
          <a:off x="0" y="35785425"/>
          <a:ext cx="38100"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nMarie.Boylan@YoloCounty.gov" TargetMode="External"/><Relationship Id="rId1" Type="http://schemas.openxmlformats.org/officeDocument/2006/relationships/hyperlink" Target="mailto:Rachelle.Gayton@YoloCount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7" activePane="bottomLeft" state="frozen"/>
      <selection pane="bottomLeft" activeCell="A2" sqref="A2:B6"/>
    </sheetView>
  </sheetViews>
  <sheetFormatPr defaultColWidth="12.5703125" defaultRowHeight="15" customHeight="1"/>
  <cols>
    <col min="1" max="1" width="9.85546875" customWidth="1"/>
    <col min="2" max="2" width="8.85546875" customWidth="1"/>
    <col min="3" max="3" width="6" customWidth="1"/>
    <col min="4" max="10" width="10.42578125" customWidth="1"/>
    <col min="11" max="26" width="8.85546875" customWidth="1"/>
  </cols>
  <sheetData>
    <row r="1" spans="1:10" ht="1.5" customHeight="1">
      <c r="A1" s="1"/>
      <c r="B1" s="2"/>
      <c r="C1" s="2"/>
      <c r="D1" s="2"/>
      <c r="E1" s="2"/>
      <c r="F1" s="2"/>
      <c r="G1" s="2"/>
      <c r="H1" s="2"/>
      <c r="I1" s="2"/>
      <c r="J1" s="3"/>
    </row>
    <row r="2" spans="1:10" ht="7.5" customHeight="1">
      <c r="A2" s="306"/>
      <c r="B2" s="307"/>
      <c r="C2" s="4"/>
      <c r="D2" s="300" t="s">
        <v>0</v>
      </c>
      <c r="E2" s="301"/>
      <c r="F2" s="301"/>
      <c r="G2" s="301"/>
      <c r="H2" s="301"/>
      <c r="I2" s="301"/>
      <c r="J2" s="302"/>
    </row>
    <row r="3" spans="1:10" ht="15" customHeight="1">
      <c r="A3" s="308"/>
      <c r="B3" s="309"/>
      <c r="C3" s="5"/>
      <c r="D3" s="303"/>
      <c r="E3" s="304"/>
      <c r="F3" s="304"/>
      <c r="G3" s="304"/>
      <c r="H3" s="304"/>
      <c r="I3" s="304"/>
      <c r="J3" s="305"/>
    </row>
    <row r="4" spans="1:10" ht="15" customHeight="1">
      <c r="A4" s="308"/>
      <c r="B4" s="309"/>
      <c r="C4" s="5"/>
      <c r="D4" s="6" t="s">
        <v>1</v>
      </c>
      <c r="E4" s="7"/>
      <c r="F4" s="7"/>
      <c r="G4" s="7"/>
      <c r="H4" s="7"/>
      <c r="I4" s="7"/>
      <c r="J4" s="8"/>
    </row>
    <row r="5" spans="1:10" ht="15" customHeight="1">
      <c r="A5" s="308"/>
      <c r="B5" s="309"/>
      <c r="C5" s="5"/>
      <c r="D5" s="6" t="s">
        <v>2</v>
      </c>
      <c r="E5" s="9"/>
      <c r="F5" s="9"/>
      <c r="G5" s="9"/>
      <c r="H5" s="9"/>
      <c r="I5" s="9"/>
      <c r="J5" s="10"/>
    </row>
    <row r="6" spans="1:10" ht="7.5" customHeight="1">
      <c r="A6" s="310"/>
      <c r="B6" s="311"/>
      <c r="C6" s="11"/>
      <c r="D6" s="12"/>
      <c r="E6" s="12"/>
      <c r="F6" s="12"/>
      <c r="G6" s="12"/>
      <c r="H6" s="12"/>
      <c r="I6" s="12"/>
      <c r="J6" s="13"/>
    </row>
    <row r="7" spans="1:10" ht="6" customHeight="1">
      <c r="A7" s="14"/>
      <c r="B7" s="15"/>
      <c r="C7" s="16"/>
      <c r="D7" s="16"/>
      <c r="E7" s="16"/>
      <c r="F7" s="16"/>
      <c r="G7" s="16"/>
      <c r="H7" s="16"/>
      <c r="I7" s="16"/>
      <c r="J7" s="17"/>
    </row>
    <row r="8" spans="1:10" ht="12.75" customHeight="1">
      <c r="A8" s="173" t="s">
        <v>3</v>
      </c>
      <c r="B8" s="150"/>
      <c r="C8" s="150"/>
      <c r="D8" s="150"/>
      <c r="E8" s="150"/>
      <c r="F8" s="150"/>
      <c r="G8" s="150"/>
      <c r="H8" s="150"/>
      <c r="I8" s="150"/>
      <c r="J8" s="151"/>
    </row>
    <row r="9" spans="1:10" ht="12.75" customHeight="1">
      <c r="A9" s="152"/>
      <c r="B9" s="150"/>
      <c r="C9" s="150"/>
      <c r="D9" s="150"/>
      <c r="E9" s="150"/>
      <c r="F9" s="150"/>
      <c r="G9" s="150"/>
      <c r="H9" s="150"/>
      <c r="I9" s="150"/>
      <c r="J9" s="151"/>
    </row>
    <row r="10" spans="1:10" ht="12.75" customHeight="1">
      <c r="A10" s="152"/>
      <c r="B10" s="150"/>
      <c r="C10" s="150"/>
      <c r="D10" s="150"/>
      <c r="E10" s="150"/>
      <c r="F10" s="150"/>
      <c r="G10" s="150"/>
      <c r="H10" s="150"/>
      <c r="I10" s="150"/>
      <c r="J10" s="151"/>
    </row>
    <row r="11" spans="1:10" ht="12.75" customHeight="1">
      <c r="A11" s="152"/>
      <c r="B11" s="150"/>
      <c r="C11" s="150"/>
      <c r="D11" s="150"/>
      <c r="E11" s="150"/>
      <c r="F11" s="150"/>
      <c r="G11" s="150"/>
      <c r="H11" s="150"/>
      <c r="I11" s="150"/>
      <c r="J11" s="151"/>
    </row>
    <row r="12" spans="1:10" ht="12.75" customHeight="1">
      <c r="A12" s="152"/>
      <c r="B12" s="150"/>
      <c r="C12" s="150"/>
      <c r="D12" s="150"/>
      <c r="E12" s="150"/>
      <c r="F12" s="150"/>
      <c r="G12" s="150"/>
      <c r="H12" s="150"/>
      <c r="I12" s="150"/>
      <c r="J12" s="151"/>
    </row>
    <row r="13" spans="1:10" ht="12.75" customHeight="1">
      <c r="A13" s="152"/>
      <c r="B13" s="150"/>
      <c r="C13" s="150"/>
      <c r="D13" s="150"/>
      <c r="E13" s="150"/>
      <c r="F13" s="150"/>
      <c r="G13" s="150"/>
      <c r="H13" s="150"/>
      <c r="I13" s="150"/>
      <c r="J13" s="151"/>
    </row>
    <row r="14" spans="1:10" ht="12.75" customHeight="1">
      <c r="A14" s="152"/>
      <c r="B14" s="150"/>
      <c r="C14" s="150"/>
      <c r="D14" s="150"/>
      <c r="E14" s="150"/>
      <c r="F14" s="150"/>
      <c r="G14" s="150"/>
      <c r="H14" s="150"/>
      <c r="I14" s="150"/>
      <c r="J14" s="151"/>
    </row>
    <row r="15" spans="1:10" ht="6" customHeight="1">
      <c r="A15" s="149"/>
      <c r="B15" s="150"/>
      <c r="C15" s="150"/>
      <c r="D15" s="150"/>
      <c r="E15" s="150"/>
      <c r="F15" s="150"/>
      <c r="G15" s="150"/>
      <c r="H15" s="150"/>
      <c r="I15" s="150"/>
      <c r="J15" s="151"/>
    </row>
    <row r="16" spans="1:10" ht="12.75" customHeight="1">
      <c r="A16" s="174" t="s">
        <v>901</v>
      </c>
      <c r="B16" s="150"/>
      <c r="C16" s="150"/>
      <c r="D16" s="150"/>
      <c r="E16" s="150"/>
      <c r="F16" s="150"/>
      <c r="G16" s="150"/>
      <c r="H16" s="150"/>
      <c r="I16" s="150"/>
      <c r="J16" s="151"/>
    </row>
    <row r="17" spans="1:26" ht="12.75" customHeight="1">
      <c r="A17" s="152"/>
      <c r="B17" s="150"/>
      <c r="C17" s="150"/>
      <c r="D17" s="150"/>
      <c r="E17" s="150"/>
      <c r="F17" s="150"/>
      <c r="G17" s="150"/>
      <c r="H17" s="150"/>
      <c r="I17" s="150"/>
      <c r="J17" s="151"/>
    </row>
    <row r="18" spans="1:26" ht="6" customHeight="1">
      <c r="A18" s="18"/>
      <c r="B18" s="19"/>
      <c r="C18" s="19"/>
      <c r="D18" s="19"/>
      <c r="E18" s="19"/>
      <c r="F18" s="19"/>
      <c r="G18" s="19"/>
      <c r="H18" s="19"/>
      <c r="I18" s="19"/>
      <c r="J18" s="20"/>
    </row>
    <row r="19" spans="1:26" ht="12.75" customHeight="1">
      <c r="A19" s="149" t="s">
        <v>4</v>
      </c>
      <c r="B19" s="150"/>
      <c r="C19" s="150"/>
      <c r="D19" s="150"/>
      <c r="E19" s="150"/>
      <c r="F19" s="150"/>
      <c r="G19" s="150"/>
      <c r="H19" s="150"/>
      <c r="I19" s="150"/>
      <c r="J19" s="151"/>
    </row>
    <row r="20" spans="1:26" ht="30" customHeight="1">
      <c r="A20" s="152"/>
      <c r="B20" s="150"/>
      <c r="C20" s="150"/>
      <c r="D20" s="150"/>
      <c r="E20" s="150"/>
      <c r="F20" s="150"/>
      <c r="G20" s="150"/>
      <c r="H20" s="150"/>
      <c r="I20" s="150"/>
      <c r="J20" s="151"/>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66" t="s">
        <v>6</v>
      </c>
      <c r="B23" s="167"/>
      <c r="C23" s="167"/>
      <c r="D23" s="167"/>
      <c r="E23" s="168"/>
      <c r="F23" s="166" t="s">
        <v>7</v>
      </c>
      <c r="G23" s="167"/>
      <c r="H23" s="167"/>
      <c r="I23" s="167"/>
      <c r="J23" s="168"/>
    </row>
    <row r="24" spans="1:26" ht="18.75" customHeight="1">
      <c r="A24" s="169" t="s">
        <v>898</v>
      </c>
      <c r="B24" s="167"/>
      <c r="C24" s="167"/>
      <c r="D24" s="167"/>
      <c r="E24" s="168"/>
      <c r="F24" s="175">
        <v>45558</v>
      </c>
      <c r="G24" s="167"/>
      <c r="H24" s="167"/>
      <c r="I24" s="167"/>
      <c r="J24" s="168"/>
      <c r="K24" s="27"/>
      <c r="L24" s="27"/>
      <c r="M24" s="27"/>
      <c r="N24" s="27"/>
      <c r="O24" s="27"/>
      <c r="P24" s="27"/>
      <c r="Q24" s="27"/>
      <c r="R24" s="27"/>
      <c r="S24" s="27"/>
      <c r="T24" s="27"/>
      <c r="U24" s="27"/>
      <c r="V24" s="27"/>
      <c r="W24" s="27"/>
      <c r="X24" s="27"/>
      <c r="Y24" s="27"/>
      <c r="Z24" s="27"/>
    </row>
    <row r="25" spans="1:26" ht="15" customHeight="1">
      <c r="A25" s="144" t="s">
        <v>8</v>
      </c>
      <c r="B25" s="145"/>
      <c r="C25" s="145"/>
      <c r="D25" s="145"/>
      <c r="E25" s="145"/>
      <c r="F25" s="145"/>
      <c r="G25" s="145"/>
      <c r="H25" s="145"/>
      <c r="I25" s="145"/>
      <c r="J25" s="146"/>
    </row>
    <row r="26" spans="1:26" ht="15" customHeight="1">
      <c r="A26" s="147" t="s">
        <v>9</v>
      </c>
      <c r="B26" s="145"/>
      <c r="C26" s="145"/>
      <c r="D26" s="145"/>
      <c r="E26" s="146"/>
      <c r="F26" s="147" t="s">
        <v>10</v>
      </c>
      <c r="G26" s="145"/>
      <c r="H26" s="145"/>
      <c r="I26" s="145"/>
      <c r="J26" s="146"/>
    </row>
    <row r="27" spans="1:26" ht="15" customHeight="1">
      <c r="A27" s="156" t="s">
        <v>903</v>
      </c>
      <c r="B27" s="157"/>
      <c r="C27" s="157"/>
      <c r="D27" s="157"/>
      <c r="E27" s="158"/>
      <c r="F27" s="156" t="s">
        <v>904</v>
      </c>
      <c r="G27" s="157"/>
      <c r="H27" s="157"/>
      <c r="I27" s="157"/>
      <c r="J27" s="158"/>
      <c r="N27" s="163"/>
      <c r="O27" s="150"/>
      <c r="P27" s="150"/>
      <c r="Q27" s="150"/>
      <c r="R27" s="150"/>
    </row>
    <row r="28" spans="1:26" ht="15" customHeight="1">
      <c r="A28" s="164" t="s">
        <v>11</v>
      </c>
      <c r="B28" s="161"/>
      <c r="C28" s="162"/>
      <c r="D28" s="164" t="s">
        <v>12</v>
      </c>
      <c r="E28" s="161"/>
      <c r="F28" s="161"/>
      <c r="G28" s="161"/>
      <c r="H28" s="161"/>
      <c r="I28" s="161"/>
      <c r="J28" s="162"/>
    </row>
    <row r="29" spans="1:26" ht="15" customHeight="1">
      <c r="A29" s="156" t="s">
        <v>905</v>
      </c>
      <c r="B29" s="157"/>
      <c r="C29" s="158"/>
      <c r="D29" s="165" t="s">
        <v>906</v>
      </c>
      <c r="E29" s="157"/>
      <c r="F29" s="157"/>
      <c r="G29" s="157"/>
      <c r="H29" s="157"/>
      <c r="I29" s="157"/>
      <c r="J29" s="158"/>
    </row>
    <row r="30" spans="1:26" ht="15" customHeight="1">
      <c r="A30" s="144" t="s">
        <v>13</v>
      </c>
      <c r="B30" s="145"/>
      <c r="C30" s="145"/>
      <c r="D30" s="145"/>
      <c r="E30" s="145"/>
      <c r="F30" s="145"/>
      <c r="G30" s="145"/>
      <c r="H30" s="145"/>
      <c r="I30" s="145"/>
      <c r="J30" s="146"/>
    </row>
    <row r="31" spans="1:26" ht="15" customHeight="1">
      <c r="A31" s="147" t="s">
        <v>9</v>
      </c>
      <c r="B31" s="145"/>
      <c r="C31" s="145"/>
      <c r="D31" s="145"/>
      <c r="E31" s="148"/>
      <c r="F31" s="147" t="s">
        <v>10</v>
      </c>
      <c r="G31" s="145"/>
      <c r="H31" s="145"/>
      <c r="I31" s="145"/>
      <c r="J31" s="146"/>
    </row>
    <row r="32" spans="1:26" ht="15" customHeight="1">
      <c r="A32" s="154" t="s">
        <v>907</v>
      </c>
      <c r="B32" s="150"/>
      <c r="C32" s="150"/>
      <c r="D32" s="150"/>
      <c r="E32" s="150"/>
      <c r="F32" s="154" t="s">
        <v>908</v>
      </c>
      <c r="G32" s="150"/>
      <c r="H32" s="150"/>
      <c r="I32" s="150"/>
      <c r="J32" s="151"/>
    </row>
    <row r="33" spans="1:20" ht="15" customHeight="1">
      <c r="A33" s="147" t="s">
        <v>11</v>
      </c>
      <c r="B33" s="145"/>
      <c r="C33" s="146"/>
      <c r="D33" s="155" t="s">
        <v>12</v>
      </c>
      <c r="E33" s="145"/>
      <c r="F33" s="145"/>
      <c r="G33" s="145"/>
      <c r="H33" s="145"/>
      <c r="I33" s="145"/>
      <c r="J33" s="146"/>
    </row>
    <row r="34" spans="1:20" ht="15" customHeight="1">
      <c r="A34" s="156" t="s">
        <v>909</v>
      </c>
      <c r="B34" s="157"/>
      <c r="C34" s="158"/>
      <c r="D34" s="159" t="s">
        <v>910</v>
      </c>
      <c r="E34" s="157"/>
      <c r="F34" s="157"/>
      <c r="G34" s="157"/>
      <c r="H34" s="157"/>
      <c r="I34" s="157"/>
      <c r="J34" s="158"/>
    </row>
    <row r="35" spans="1:20" ht="12.75" customHeight="1">
      <c r="A35" s="160" t="s">
        <v>14</v>
      </c>
      <c r="B35" s="161"/>
      <c r="C35" s="161"/>
      <c r="D35" s="161"/>
      <c r="E35" s="161"/>
      <c r="F35" s="161"/>
      <c r="G35" s="161"/>
      <c r="H35" s="161"/>
      <c r="I35" s="161"/>
      <c r="J35" s="162"/>
    </row>
    <row r="36" spans="1:20" ht="6" customHeight="1">
      <c r="A36" s="28"/>
      <c r="B36" s="29"/>
      <c r="C36" s="29"/>
      <c r="D36" s="30"/>
      <c r="E36" s="30"/>
      <c r="F36" s="30"/>
      <c r="G36" s="30"/>
      <c r="H36" s="30"/>
      <c r="I36" s="30"/>
      <c r="J36" s="31"/>
    </row>
    <row r="37" spans="1:20" ht="12.75" customHeight="1">
      <c r="A37" s="149" t="s">
        <v>15</v>
      </c>
      <c r="B37" s="150"/>
      <c r="C37" s="150"/>
      <c r="D37" s="150"/>
      <c r="E37" s="150"/>
      <c r="F37" s="150"/>
      <c r="G37" s="150"/>
      <c r="H37" s="150"/>
      <c r="I37" s="150"/>
      <c r="J37" s="151"/>
    </row>
    <row r="38" spans="1:20" ht="12.75" customHeight="1">
      <c r="A38" s="152"/>
      <c r="B38" s="150"/>
      <c r="C38" s="150"/>
      <c r="D38" s="150"/>
      <c r="E38" s="150"/>
      <c r="F38" s="150"/>
      <c r="G38" s="150"/>
      <c r="H38" s="150"/>
      <c r="I38" s="150"/>
      <c r="J38" s="151"/>
    </row>
    <row r="39" spans="1:20" ht="12.75" customHeight="1">
      <c r="A39" s="152"/>
      <c r="B39" s="150"/>
      <c r="C39" s="150"/>
      <c r="D39" s="150"/>
      <c r="E39" s="150"/>
      <c r="F39" s="150"/>
      <c r="G39" s="150"/>
      <c r="H39" s="150"/>
      <c r="I39" s="150"/>
      <c r="J39" s="151"/>
    </row>
    <row r="40" spans="1:20" ht="6" customHeight="1">
      <c r="A40" s="152"/>
      <c r="B40" s="150"/>
      <c r="C40" s="150"/>
      <c r="D40" s="150"/>
      <c r="E40" s="150"/>
      <c r="F40" s="150"/>
      <c r="G40" s="150"/>
      <c r="H40" s="150"/>
      <c r="I40" s="150"/>
      <c r="J40" s="151"/>
    </row>
    <row r="41" spans="1:20" ht="21.75" customHeight="1">
      <c r="A41" s="152"/>
      <c r="B41" s="150"/>
      <c r="C41" s="150"/>
      <c r="D41" s="150"/>
      <c r="E41" s="150"/>
      <c r="F41" s="150"/>
      <c r="G41" s="150"/>
      <c r="H41" s="150"/>
      <c r="I41" s="150"/>
      <c r="J41" s="151"/>
      <c r="L41" s="153"/>
      <c r="M41" s="150"/>
      <c r="N41" s="150"/>
      <c r="O41" s="150"/>
      <c r="P41" s="150"/>
      <c r="Q41" s="150"/>
      <c r="R41" s="150"/>
      <c r="S41" s="150"/>
      <c r="T41" s="150"/>
    </row>
    <row r="42" spans="1:20" ht="12" customHeight="1">
      <c r="A42" s="152"/>
      <c r="B42" s="150"/>
      <c r="C42" s="150"/>
      <c r="D42" s="150"/>
      <c r="E42" s="150"/>
      <c r="F42" s="150"/>
      <c r="G42" s="150"/>
      <c r="H42" s="150"/>
      <c r="I42" s="150"/>
      <c r="J42" s="151"/>
      <c r="L42" s="150"/>
      <c r="M42" s="150"/>
      <c r="N42" s="150"/>
      <c r="O42" s="150"/>
      <c r="P42" s="150"/>
      <c r="Q42" s="150"/>
      <c r="R42" s="150"/>
      <c r="S42" s="150"/>
      <c r="T42" s="150"/>
    </row>
    <row r="43" spans="1:20" ht="12.75" customHeight="1">
      <c r="A43" s="152"/>
      <c r="B43" s="150"/>
      <c r="C43" s="150"/>
      <c r="D43" s="150"/>
      <c r="E43" s="150"/>
      <c r="F43" s="150"/>
      <c r="G43" s="150"/>
      <c r="H43" s="150"/>
      <c r="I43" s="150"/>
      <c r="J43" s="151"/>
      <c r="L43" s="150"/>
      <c r="M43" s="150"/>
      <c r="N43" s="150"/>
      <c r="O43" s="150"/>
      <c r="P43" s="150"/>
      <c r="Q43" s="150"/>
      <c r="R43" s="150"/>
      <c r="S43" s="150"/>
      <c r="T43" s="150"/>
    </row>
    <row r="44" spans="1:20" ht="12.75" customHeight="1">
      <c r="A44" s="152"/>
      <c r="B44" s="150"/>
      <c r="C44" s="150"/>
      <c r="D44" s="150"/>
      <c r="E44" s="150"/>
      <c r="F44" s="150"/>
      <c r="G44" s="150"/>
      <c r="H44" s="150"/>
      <c r="I44" s="150"/>
      <c r="J44" s="151"/>
      <c r="L44" s="150"/>
      <c r="M44" s="150"/>
      <c r="N44" s="150"/>
      <c r="O44" s="150"/>
      <c r="P44" s="150"/>
      <c r="Q44" s="150"/>
      <c r="R44" s="150"/>
      <c r="S44" s="150"/>
      <c r="T44" s="150"/>
    </row>
    <row r="45" spans="1:20" ht="6" customHeight="1">
      <c r="A45" s="152"/>
      <c r="B45" s="150"/>
      <c r="C45" s="150"/>
      <c r="D45" s="150"/>
      <c r="E45" s="150"/>
      <c r="F45" s="150"/>
      <c r="G45" s="150"/>
      <c r="H45" s="150"/>
      <c r="I45" s="150"/>
      <c r="J45" s="151"/>
      <c r="L45" s="150"/>
      <c r="M45" s="150"/>
      <c r="N45" s="150"/>
      <c r="O45" s="150"/>
      <c r="P45" s="150"/>
      <c r="Q45" s="150"/>
      <c r="R45" s="150"/>
      <c r="S45" s="150"/>
      <c r="T45" s="150"/>
    </row>
    <row r="46" spans="1:20" ht="12.75" customHeight="1">
      <c r="A46" s="152"/>
      <c r="B46" s="150"/>
      <c r="C46" s="150"/>
      <c r="D46" s="150"/>
      <c r="E46" s="150"/>
      <c r="F46" s="150"/>
      <c r="G46" s="150"/>
      <c r="H46" s="150"/>
      <c r="I46" s="150"/>
      <c r="J46" s="151"/>
    </row>
    <row r="47" spans="1:20" ht="12.75" customHeight="1">
      <c r="A47" s="152"/>
      <c r="B47" s="150"/>
      <c r="C47" s="150"/>
      <c r="D47" s="150"/>
      <c r="E47" s="150"/>
      <c r="F47" s="150"/>
      <c r="G47" s="150"/>
      <c r="H47" s="150"/>
      <c r="I47" s="150"/>
      <c r="J47" s="151"/>
    </row>
    <row r="48" spans="1:20" ht="12.75" customHeight="1">
      <c r="A48" s="152"/>
      <c r="B48" s="150"/>
      <c r="C48" s="150"/>
      <c r="D48" s="150"/>
      <c r="E48" s="150"/>
      <c r="F48" s="150"/>
      <c r="G48" s="150"/>
      <c r="H48" s="150"/>
      <c r="I48" s="150"/>
      <c r="J48" s="151"/>
      <c r="L48" s="153"/>
      <c r="M48" s="150"/>
      <c r="N48" s="150"/>
      <c r="O48" s="150"/>
      <c r="P48" s="150"/>
      <c r="Q48" s="150"/>
      <c r="R48" s="150"/>
      <c r="S48" s="150"/>
      <c r="T48" s="150"/>
    </row>
    <row r="49" spans="1:26" ht="12" customHeight="1">
      <c r="A49" s="152"/>
      <c r="B49" s="150"/>
      <c r="C49" s="150"/>
      <c r="D49" s="150"/>
      <c r="E49" s="150"/>
      <c r="F49" s="150"/>
      <c r="G49" s="150"/>
      <c r="H49" s="150"/>
      <c r="I49" s="150"/>
      <c r="J49" s="151"/>
      <c r="L49" s="150"/>
      <c r="M49" s="150"/>
      <c r="N49" s="150"/>
      <c r="O49" s="150"/>
      <c r="P49" s="150"/>
      <c r="Q49" s="150"/>
      <c r="R49" s="150"/>
      <c r="S49" s="150"/>
      <c r="T49" s="150"/>
    </row>
    <row r="50" spans="1:26" ht="55.5" customHeight="1">
      <c r="A50" s="152"/>
      <c r="B50" s="150"/>
      <c r="C50" s="150"/>
      <c r="D50" s="150"/>
      <c r="E50" s="150"/>
      <c r="F50" s="150"/>
      <c r="G50" s="150"/>
      <c r="H50" s="150"/>
      <c r="I50" s="150"/>
      <c r="J50" s="151"/>
      <c r="K50" s="33"/>
      <c r="L50" s="150"/>
      <c r="M50" s="150"/>
      <c r="N50" s="150"/>
      <c r="O50" s="150"/>
      <c r="P50" s="150"/>
      <c r="Q50" s="150"/>
      <c r="R50" s="150"/>
      <c r="S50" s="150"/>
      <c r="T50" s="150"/>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D2:J3"/>
    <mergeCell ref="A2:B6"/>
    <mergeCell ref="A23:E23"/>
    <mergeCell ref="A24:E24"/>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2E6E0407-5EE8-41C8-BB4A-EA0B6D589200}"/>
    <hyperlink ref="D34" r:id="rId2" xr:uid="{98E13BA0-41B9-49DD-B493-467A4D35B4CD}"/>
  </hyperlinks>
  <printOptions horizontalCentered="1"/>
  <pageMargins left="0.5" right="0.5" top="0.5" bottom="0.5" header="0" footer="0"/>
  <pageSetup scale="90"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10" activePane="bottomLeft" state="frozen"/>
      <selection pane="bottomLeft" activeCell="A4" sqref="A4:O4"/>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188" t="s">
        <v>16</v>
      </c>
      <c r="B1" s="167"/>
      <c r="C1" s="167"/>
      <c r="D1" s="167"/>
      <c r="E1" s="167"/>
      <c r="F1" s="167"/>
      <c r="G1" s="167"/>
      <c r="H1" s="167"/>
      <c r="I1" s="167"/>
      <c r="J1" s="189"/>
      <c r="K1" s="190" t="str">
        <f>'CONTACT INFORMATION'!$A$24</f>
        <v>Yolo</v>
      </c>
      <c r="L1" s="167"/>
      <c r="M1" s="167"/>
      <c r="N1" s="167"/>
      <c r="O1" s="168"/>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191" t="s">
        <v>17</v>
      </c>
      <c r="B3" s="145"/>
      <c r="C3" s="145"/>
      <c r="D3" s="145"/>
      <c r="E3" s="145"/>
      <c r="F3" s="145"/>
      <c r="G3" s="145"/>
      <c r="H3" s="145"/>
      <c r="I3" s="145"/>
      <c r="J3" s="145"/>
      <c r="K3" s="145"/>
      <c r="L3" s="145"/>
      <c r="M3" s="145"/>
      <c r="N3" s="145"/>
      <c r="O3" s="146"/>
    </row>
    <row r="4" spans="1:26" ht="59.25" customHeight="1">
      <c r="A4" s="299" t="s">
        <v>926</v>
      </c>
      <c r="B4" s="161"/>
      <c r="C4" s="161"/>
      <c r="D4" s="161"/>
      <c r="E4" s="161"/>
      <c r="F4" s="161"/>
      <c r="G4" s="161"/>
      <c r="H4" s="161"/>
      <c r="I4" s="161"/>
      <c r="J4" s="161"/>
      <c r="K4" s="161"/>
      <c r="L4" s="161"/>
      <c r="M4" s="161"/>
      <c r="N4" s="161"/>
      <c r="O4" s="162"/>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192"/>
      <c r="D6" s="150"/>
      <c r="E6" s="150"/>
      <c r="F6" s="150"/>
      <c r="G6" s="150"/>
      <c r="H6" s="150"/>
      <c r="I6" s="150"/>
      <c r="J6" s="150"/>
      <c r="K6" s="150"/>
      <c r="L6" s="150"/>
      <c r="M6" s="43"/>
      <c r="N6" s="43"/>
      <c r="O6" s="44"/>
      <c r="P6" s="41"/>
      <c r="Q6" s="41"/>
      <c r="R6" s="41"/>
      <c r="S6" s="41"/>
      <c r="T6" s="41"/>
      <c r="U6" s="41"/>
      <c r="V6" s="41"/>
      <c r="W6" s="41"/>
      <c r="X6" s="41"/>
      <c r="Y6" s="41"/>
      <c r="Z6" s="41"/>
    </row>
    <row r="7" spans="1:26" ht="17.25" customHeight="1">
      <c r="A7" s="45"/>
      <c r="D7" s="187" t="s">
        <v>18</v>
      </c>
      <c r="E7" s="150"/>
      <c r="F7" s="150"/>
      <c r="G7" s="150"/>
      <c r="H7" s="150"/>
      <c r="I7" s="150"/>
      <c r="J7" s="150"/>
      <c r="K7" s="150"/>
      <c r="L7" s="150"/>
      <c r="M7" s="47"/>
      <c r="O7" s="48"/>
    </row>
    <row r="8" spans="1:26" ht="12.75" customHeight="1">
      <c r="A8" s="49"/>
      <c r="B8" s="50"/>
      <c r="C8" s="33"/>
      <c r="D8" s="33"/>
      <c r="E8" s="181" t="s">
        <v>19</v>
      </c>
      <c r="F8" s="167"/>
      <c r="G8" s="167"/>
      <c r="H8" s="168"/>
      <c r="I8" s="176">
        <v>3</v>
      </c>
      <c r="J8" s="168"/>
      <c r="K8" s="51"/>
      <c r="L8" s="51"/>
      <c r="M8" s="51"/>
      <c r="N8" s="52"/>
      <c r="O8" s="53"/>
      <c r="P8" s="33"/>
      <c r="Q8" s="33"/>
      <c r="R8" s="33"/>
      <c r="S8" s="33"/>
      <c r="T8" s="33"/>
      <c r="U8" s="33"/>
      <c r="V8" s="33"/>
      <c r="W8" s="33"/>
      <c r="X8" s="33"/>
      <c r="Y8" s="33"/>
      <c r="Z8" s="33"/>
    </row>
    <row r="9" spans="1:26" ht="12.75" customHeight="1">
      <c r="A9" s="49"/>
      <c r="B9" s="50"/>
      <c r="C9" s="33"/>
      <c r="D9" s="33"/>
      <c r="E9" s="182" t="s">
        <v>20</v>
      </c>
      <c r="F9" s="167"/>
      <c r="G9" s="167"/>
      <c r="H9" s="168"/>
      <c r="I9" s="183">
        <v>101</v>
      </c>
      <c r="J9" s="168"/>
      <c r="K9" s="51"/>
      <c r="L9" s="51"/>
      <c r="M9" s="51"/>
      <c r="N9" s="52"/>
      <c r="O9" s="53"/>
      <c r="P9" s="33"/>
      <c r="Q9" s="33"/>
      <c r="R9" s="33"/>
      <c r="S9" s="33"/>
      <c r="T9" s="33"/>
      <c r="U9" s="33"/>
      <c r="V9" s="33"/>
      <c r="W9" s="33"/>
      <c r="X9" s="33"/>
      <c r="Y9" s="33"/>
      <c r="Z9" s="33"/>
    </row>
    <row r="10" spans="1:26" ht="12.75" customHeight="1">
      <c r="A10" s="49"/>
      <c r="B10" s="50"/>
      <c r="C10" s="33"/>
      <c r="D10" s="33"/>
      <c r="E10" s="181" t="s">
        <v>21</v>
      </c>
      <c r="F10" s="167"/>
      <c r="G10" s="167"/>
      <c r="H10" s="168"/>
      <c r="I10" s="176">
        <v>53</v>
      </c>
      <c r="J10" s="168"/>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187" t="s">
        <v>22</v>
      </c>
      <c r="E13" s="150"/>
      <c r="F13" s="150"/>
      <c r="G13" s="150"/>
      <c r="H13" s="150"/>
      <c r="I13" s="150"/>
      <c r="J13" s="150"/>
      <c r="K13" s="150"/>
      <c r="L13" s="150"/>
      <c r="M13" s="57"/>
      <c r="N13" s="57"/>
      <c r="O13" s="58"/>
      <c r="P13" s="41"/>
      <c r="Q13" s="41"/>
      <c r="R13" s="41"/>
      <c r="S13" s="41"/>
      <c r="T13" s="41"/>
      <c r="U13" s="41"/>
      <c r="V13" s="41"/>
      <c r="W13" s="41"/>
      <c r="X13" s="41"/>
      <c r="Y13" s="41"/>
      <c r="Z13" s="41"/>
    </row>
    <row r="14" spans="1:26" ht="12.75" customHeight="1">
      <c r="A14" s="49"/>
      <c r="E14" s="181" t="s">
        <v>23</v>
      </c>
      <c r="F14" s="167"/>
      <c r="G14" s="167"/>
      <c r="H14" s="168"/>
      <c r="I14" s="176">
        <v>74</v>
      </c>
      <c r="J14" s="168"/>
      <c r="K14" s="52"/>
      <c r="L14" s="52"/>
      <c r="M14" s="52"/>
      <c r="N14" s="52"/>
      <c r="O14" s="53"/>
    </row>
    <row r="15" spans="1:26" ht="12.75" customHeight="1">
      <c r="A15" s="49"/>
      <c r="E15" s="182" t="s">
        <v>24</v>
      </c>
      <c r="F15" s="167"/>
      <c r="G15" s="167"/>
      <c r="H15" s="168"/>
      <c r="I15" s="183">
        <v>30</v>
      </c>
      <c r="J15" s="168"/>
      <c r="K15" s="52"/>
      <c r="L15" s="52"/>
      <c r="M15" s="52"/>
      <c r="N15" s="52"/>
      <c r="O15" s="53"/>
    </row>
    <row r="16" spans="1:26" ht="12.75" customHeight="1">
      <c r="A16" s="49"/>
      <c r="E16" s="184" t="s">
        <v>25</v>
      </c>
      <c r="F16" s="167"/>
      <c r="G16" s="167"/>
      <c r="H16" s="168"/>
      <c r="I16" s="185">
        <f>SUM(I14:J15)</f>
        <v>104</v>
      </c>
      <c r="J16" s="168"/>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81" t="s">
        <v>27</v>
      </c>
      <c r="F20" s="167"/>
      <c r="G20" s="167"/>
      <c r="H20" s="168"/>
      <c r="I20" s="176">
        <v>53</v>
      </c>
      <c r="J20" s="168"/>
      <c r="K20" s="52"/>
      <c r="L20" s="52"/>
      <c r="M20" s="52"/>
      <c r="N20" s="52"/>
      <c r="O20" s="53"/>
    </row>
    <row r="21" spans="1:26" ht="12.75" customHeight="1">
      <c r="A21" s="49"/>
      <c r="E21" s="182" t="s">
        <v>28</v>
      </c>
      <c r="F21" s="167"/>
      <c r="G21" s="167"/>
      <c r="H21" s="168"/>
      <c r="I21" s="186">
        <v>31</v>
      </c>
      <c r="J21" s="168"/>
      <c r="K21" s="52"/>
      <c r="L21" s="52"/>
      <c r="M21" s="52"/>
      <c r="N21" s="52"/>
      <c r="O21" s="53"/>
    </row>
    <row r="22" spans="1:26" ht="12.75" customHeight="1">
      <c r="A22" s="49"/>
      <c r="E22" s="181" t="s">
        <v>29</v>
      </c>
      <c r="F22" s="167"/>
      <c r="G22" s="167"/>
      <c r="H22" s="168"/>
      <c r="I22" s="176">
        <v>6</v>
      </c>
      <c r="J22" s="168"/>
      <c r="K22" s="52"/>
      <c r="L22" s="52"/>
      <c r="M22" s="52"/>
      <c r="N22" s="52"/>
      <c r="O22" s="53"/>
    </row>
    <row r="23" spans="1:26" ht="12.75" customHeight="1">
      <c r="A23" s="49"/>
      <c r="E23" s="182" t="s">
        <v>30</v>
      </c>
      <c r="F23" s="167"/>
      <c r="G23" s="167"/>
      <c r="H23" s="168"/>
      <c r="I23" s="183">
        <v>2</v>
      </c>
      <c r="J23" s="168"/>
      <c r="K23" s="52"/>
      <c r="L23" s="52"/>
      <c r="M23" s="52"/>
      <c r="N23" s="52"/>
      <c r="O23" s="53"/>
    </row>
    <row r="24" spans="1:26" ht="12.75" customHeight="1">
      <c r="A24" s="49"/>
      <c r="E24" s="181" t="s">
        <v>31</v>
      </c>
      <c r="F24" s="167"/>
      <c r="G24" s="167"/>
      <c r="H24" s="168"/>
      <c r="I24" s="176">
        <v>0</v>
      </c>
      <c r="J24" s="168"/>
      <c r="K24" s="52"/>
      <c r="L24" s="52"/>
      <c r="M24" s="52"/>
      <c r="N24" s="52"/>
      <c r="O24" s="53"/>
    </row>
    <row r="25" spans="1:26" ht="12.75" customHeight="1">
      <c r="A25" s="49"/>
      <c r="E25" s="182" t="s">
        <v>32</v>
      </c>
      <c r="F25" s="167"/>
      <c r="G25" s="167"/>
      <c r="H25" s="168"/>
      <c r="I25" s="183">
        <v>1</v>
      </c>
      <c r="J25" s="168"/>
      <c r="K25" s="52"/>
      <c r="L25" s="52"/>
      <c r="M25" s="52"/>
      <c r="N25" s="52"/>
      <c r="O25" s="53"/>
    </row>
    <row r="26" spans="1:26" ht="12.75" customHeight="1">
      <c r="A26" s="49"/>
      <c r="E26" s="181" t="s">
        <v>33</v>
      </c>
      <c r="F26" s="167"/>
      <c r="G26" s="167"/>
      <c r="H26" s="168"/>
      <c r="I26" s="176">
        <v>11</v>
      </c>
      <c r="J26" s="168"/>
      <c r="K26" s="52"/>
      <c r="L26" s="52"/>
      <c r="M26" s="52"/>
      <c r="N26" s="52"/>
      <c r="O26" s="53"/>
    </row>
    <row r="27" spans="1:26" ht="12.75" customHeight="1">
      <c r="A27" s="49"/>
      <c r="E27" s="184" t="s">
        <v>25</v>
      </c>
      <c r="F27" s="167"/>
      <c r="G27" s="167"/>
      <c r="H27" s="168"/>
      <c r="I27" s="185">
        <f>SUM(I20:J26)</f>
        <v>104</v>
      </c>
      <c r="J27" s="168"/>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177" t="s">
        <v>923</v>
      </c>
      <c r="B32" s="171"/>
      <c r="C32" s="171"/>
      <c r="D32" s="171"/>
      <c r="E32" s="171"/>
      <c r="F32" s="171"/>
      <c r="G32" s="171"/>
      <c r="H32" s="171"/>
      <c r="I32" s="171"/>
      <c r="J32" s="171"/>
      <c r="K32" s="171"/>
      <c r="L32" s="171"/>
      <c r="M32" s="171"/>
      <c r="N32" s="171"/>
      <c r="O32" s="172"/>
    </row>
    <row r="33" spans="1:26" ht="13.5" customHeight="1">
      <c r="A33" s="152"/>
      <c r="B33" s="150"/>
      <c r="C33" s="150"/>
      <c r="D33" s="150"/>
      <c r="E33" s="150"/>
      <c r="F33" s="150"/>
      <c r="G33" s="150"/>
      <c r="H33" s="150"/>
      <c r="I33" s="150"/>
      <c r="J33" s="150"/>
      <c r="K33" s="150"/>
      <c r="L33" s="150"/>
      <c r="M33" s="150"/>
      <c r="N33" s="150"/>
      <c r="O33" s="151"/>
    </row>
    <row r="34" spans="1:26" ht="13.5" customHeight="1">
      <c r="A34" s="152"/>
      <c r="B34" s="150"/>
      <c r="C34" s="150"/>
      <c r="D34" s="150"/>
      <c r="E34" s="150"/>
      <c r="F34" s="150"/>
      <c r="G34" s="150"/>
      <c r="H34" s="150"/>
      <c r="I34" s="150"/>
      <c r="J34" s="150"/>
      <c r="K34" s="150"/>
      <c r="L34" s="150"/>
      <c r="M34" s="150"/>
      <c r="N34" s="150"/>
      <c r="O34" s="151"/>
    </row>
    <row r="35" spans="1:26" ht="13.5" customHeight="1">
      <c r="A35" s="152"/>
      <c r="B35" s="150"/>
      <c r="C35" s="150"/>
      <c r="D35" s="150"/>
      <c r="E35" s="150"/>
      <c r="F35" s="150"/>
      <c r="G35" s="150"/>
      <c r="H35" s="150"/>
      <c r="I35" s="150"/>
      <c r="J35" s="150"/>
      <c r="K35" s="150"/>
      <c r="L35" s="150"/>
      <c r="M35" s="150"/>
      <c r="N35" s="150"/>
      <c r="O35" s="151"/>
    </row>
    <row r="36" spans="1:26" ht="13.5" customHeight="1">
      <c r="A36" s="152"/>
      <c r="B36" s="150"/>
      <c r="C36" s="150"/>
      <c r="D36" s="150"/>
      <c r="E36" s="150"/>
      <c r="F36" s="150"/>
      <c r="G36" s="150"/>
      <c r="H36" s="150"/>
      <c r="I36" s="150"/>
      <c r="J36" s="150"/>
      <c r="K36" s="150"/>
      <c r="L36" s="150"/>
      <c r="M36" s="150"/>
      <c r="N36" s="150"/>
      <c r="O36" s="151"/>
    </row>
    <row r="37" spans="1:26" ht="13.5" customHeight="1">
      <c r="A37" s="152"/>
      <c r="B37" s="150"/>
      <c r="C37" s="150"/>
      <c r="D37" s="150"/>
      <c r="E37" s="150"/>
      <c r="F37" s="150"/>
      <c r="G37" s="150"/>
      <c r="H37" s="150"/>
      <c r="I37" s="150"/>
      <c r="J37" s="150"/>
      <c r="K37" s="150"/>
      <c r="L37" s="150"/>
      <c r="M37" s="150"/>
      <c r="N37" s="150"/>
      <c r="O37" s="151"/>
    </row>
    <row r="38" spans="1:26" ht="13.5" customHeight="1">
      <c r="A38" s="152"/>
      <c r="B38" s="150"/>
      <c r="C38" s="150"/>
      <c r="D38" s="150"/>
      <c r="E38" s="150"/>
      <c r="F38" s="150"/>
      <c r="G38" s="150"/>
      <c r="H38" s="150"/>
      <c r="I38" s="150"/>
      <c r="J38" s="150"/>
      <c r="K38" s="150"/>
      <c r="L38" s="150"/>
      <c r="M38" s="150"/>
      <c r="N38" s="150"/>
      <c r="O38" s="151"/>
    </row>
    <row r="39" spans="1:26" ht="13.5" customHeight="1">
      <c r="A39" s="152"/>
      <c r="B39" s="150"/>
      <c r="C39" s="150"/>
      <c r="D39" s="150"/>
      <c r="E39" s="150"/>
      <c r="F39" s="150"/>
      <c r="G39" s="150"/>
      <c r="H39" s="150"/>
      <c r="I39" s="150"/>
      <c r="J39" s="150"/>
      <c r="K39" s="150"/>
      <c r="L39" s="150"/>
      <c r="M39" s="150"/>
      <c r="N39" s="150"/>
      <c r="O39" s="151"/>
    </row>
    <row r="40" spans="1:26" ht="13.5" customHeight="1">
      <c r="A40" s="152"/>
      <c r="B40" s="150"/>
      <c r="C40" s="150"/>
      <c r="D40" s="150"/>
      <c r="E40" s="150"/>
      <c r="F40" s="150"/>
      <c r="G40" s="150"/>
      <c r="H40" s="150"/>
      <c r="I40" s="150"/>
      <c r="J40" s="150"/>
      <c r="K40" s="150"/>
      <c r="L40" s="150"/>
      <c r="M40" s="150"/>
      <c r="N40" s="150"/>
      <c r="O40" s="151"/>
    </row>
    <row r="41" spans="1:26" ht="13.5" customHeight="1">
      <c r="A41" s="152"/>
      <c r="B41" s="150"/>
      <c r="C41" s="150"/>
      <c r="D41" s="150"/>
      <c r="E41" s="150"/>
      <c r="F41" s="150"/>
      <c r="G41" s="150"/>
      <c r="H41" s="150"/>
      <c r="I41" s="150"/>
      <c r="J41" s="150"/>
      <c r="K41" s="150"/>
      <c r="L41" s="150"/>
      <c r="M41" s="150"/>
      <c r="N41" s="150"/>
      <c r="O41" s="151"/>
    </row>
    <row r="42" spans="1:26" ht="13.5" customHeight="1">
      <c r="A42" s="152"/>
      <c r="B42" s="150"/>
      <c r="C42" s="150"/>
      <c r="D42" s="150"/>
      <c r="E42" s="150"/>
      <c r="F42" s="150"/>
      <c r="G42" s="150"/>
      <c r="H42" s="150"/>
      <c r="I42" s="150"/>
      <c r="J42" s="150"/>
      <c r="K42" s="150"/>
      <c r="L42" s="150"/>
      <c r="M42" s="150"/>
      <c r="N42" s="150"/>
      <c r="O42" s="151"/>
    </row>
    <row r="43" spans="1:26" ht="13.5" customHeight="1">
      <c r="A43" s="170"/>
      <c r="B43" s="157"/>
      <c r="C43" s="157"/>
      <c r="D43" s="157"/>
      <c r="E43" s="157"/>
      <c r="F43" s="157"/>
      <c r="G43" s="157"/>
      <c r="H43" s="157"/>
      <c r="I43" s="157"/>
      <c r="J43" s="157"/>
      <c r="K43" s="157"/>
      <c r="L43" s="157"/>
      <c r="M43" s="157"/>
      <c r="N43" s="157"/>
      <c r="O43" s="158"/>
    </row>
    <row r="44" spans="1:26" ht="13.5" customHeight="1">
      <c r="A44" s="69"/>
      <c r="B44" s="69"/>
      <c r="C44" s="69"/>
      <c r="D44" s="69"/>
      <c r="E44" s="69"/>
      <c r="F44" s="70"/>
      <c r="G44" s="178"/>
      <c r="H44" s="150"/>
      <c r="I44" s="150"/>
      <c r="J44" s="150"/>
      <c r="K44" s="72"/>
      <c r="L44" s="73"/>
      <c r="M44" s="73"/>
      <c r="N44" s="179"/>
      <c r="O44" s="150"/>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180"/>
      <c r="B50" s="150"/>
      <c r="C50" s="150"/>
      <c r="D50" s="150"/>
      <c r="E50" s="150"/>
      <c r="F50" s="150"/>
      <c r="G50" s="71"/>
      <c r="H50" s="71"/>
      <c r="I50" s="72"/>
      <c r="J50" s="72"/>
      <c r="K50" s="72"/>
      <c r="L50" s="73"/>
      <c r="M50" s="73"/>
      <c r="N50" s="179"/>
      <c r="O50" s="150"/>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r:id="rId1"/>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12" activePane="bottomLeft" state="frozen"/>
      <selection pane="bottomLeft" activeCell="K68" sqref="K68"/>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10" t="s">
        <v>16</v>
      </c>
      <c r="B1" s="167"/>
      <c r="C1" s="167"/>
      <c r="D1" s="167"/>
      <c r="E1" s="167"/>
      <c r="F1" s="167"/>
      <c r="G1" s="167"/>
      <c r="H1" s="167"/>
      <c r="I1" s="167"/>
      <c r="J1" s="189"/>
      <c r="K1" s="211" t="str">
        <f>'CONTACT INFORMATION'!$A$24</f>
        <v>Yolo</v>
      </c>
      <c r="L1" s="167"/>
      <c r="M1" s="167"/>
      <c r="N1" s="167"/>
      <c r="O1" s="168"/>
    </row>
    <row r="2" spans="1:26" ht="7.5" customHeight="1">
      <c r="A2" s="76"/>
      <c r="B2" s="76"/>
      <c r="C2" s="76"/>
      <c r="D2" s="76"/>
      <c r="E2" s="76"/>
      <c r="F2" s="76"/>
      <c r="G2" s="76"/>
      <c r="H2" s="76"/>
      <c r="I2" s="76"/>
      <c r="J2" s="76"/>
      <c r="K2" s="76"/>
      <c r="L2" s="76"/>
      <c r="M2" s="76"/>
      <c r="N2" s="76"/>
      <c r="O2" s="76"/>
    </row>
    <row r="3" spans="1:26" ht="24" customHeight="1">
      <c r="A3" s="212" t="s">
        <v>35</v>
      </c>
      <c r="B3" s="145"/>
      <c r="C3" s="145"/>
      <c r="D3" s="145"/>
      <c r="E3" s="145"/>
      <c r="F3" s="145"/>
      <c r="G3" s="145"/>
      <c r="H3" s="145"/>
      <c r="I3" s="145"/>
      <c r="J3" s="145"/>
      <c r="K3" s="145"/>
      <c r="L3" s="145"/>
      <c r="M3" s="145"/>
      <c r="N3" s="145"/>
      <c r="O3" s="146"/>
    </row>
    <row r="4" spans="1:26" ht="44.25" customHeight="1">
      <c r="A4" s="213" t="s">
        <v>900</v>
      </c>
      <c r="B4" s="161"/>
      <c r="C4" s="161"/>
      <c r="D4" s="161"/>
      <c r="E4" s="161"/>
      <c r="F4" s="161"/>
      <c r="G4" s="161"/>
      <c r="H4" s="161"/>
      <c r="I4" s="161"/>
      <c r="J4" s="161"/>
      <c r="K4" s="161"/>
      <c r="L4" s="161"/>
      <c r="M4" s="161"/>
      <c r="N4" s="161"/>
      <c r="O4" s="162"/>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14" t="s">
        <v>36</v>
      </c>
      <c r="D6" s="150"/>
      <c r="E6" s="150"/>
      <c r="F6" s="150"/>
      <c r="G6" s="150"/>
      <c r="H6" s="150"/>
      <c r="I6" s="150"/>
      <c r="J6" s="150"/>
      <c r="K6" s="150"/>
      <c r="L6" s="150"/>
      <c r="M6" s="77"/>
      <c r="N6" s="77"/>
      <c r="O6" s="78"/>
    </row>
    <row r="7" spans="1:26" ht="13.5" customHeight="1">
      <c r="A7" s="79"/>
      <c r="D7" s="204" t="s">
        <v>37</v>
      </c>
      <c r="E7" s="167"/>
      <c r="F7" s="167"/>
      <c r="G7" s="167"/>
      <c r="H7" s="167"/>
      <c r="I7" s="168"/>
      <c r="J7" s="205">
        <v>30</v>
      </c>
      <c r="K7" s="168"/>
      <c r="O7" s="48"/>
    </row>
    <row r="8" spans="1:26" ht="13.5" customHeight="1">
      <c r="A8" s="49"/>
      <c r="D8" s="206" t="s">
        <v>38</v>
      </c>
      <c r="E8" s="167"/>
      <c r="F8" s="167"/>
      <c r="G8" s="167"/>
      <c r="H8" s="167"/>
      <c r="I8" s="168"/>
      <c r="J8" s="207">
        <v>23</v>
      </c>
      <c r="K8" s="168"/>
      <c r="L8" s="80"/>
      <c r="M8" s="80"/>
      <c r="N8" s="80"/>
      <c r="O8" s="81"/>
    </row>
    <row r="9" spans="1:26" ht="13.5" customHeight="1">
      <c r="A9" s="49"/>
      <c r="D9" s="208" t="s">
        <v>25</v>
      </c>
      <c r="E9" s="167"/>
      <c r="F9" s="167"/>
      <c r="G9" s="167"/>
      <c r="H9" s="167"/>
      <c r="I9" s="168"/>
      <c r="J9" s="209">
        <f>SUM(I7:J8)</f>
        <v>53</v>
      </c>
      <c r="K9" s="168"/>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03" t="s">
        <v>39</v>
      </c>
      <c r="D11" s="150"/>
      <c r="E11" s="150"/>
      <c r="F11" s="150"/>
      <c r="G11" s="150"/>
      <c r="H11" s="80"/>
      <c r="I11" s="80"/>
      <c r="J11" s="80"/>
      <c r="K11" s="80"/>
      <c r="L11" s="80"/>
      <c r="M11" s="80"/>
      <c r="N11" s="80"/>
      <c r="O11" s="81"/>
    </row>
    <row r="12" spans="1:26" ht="13.5" customHeight="1">
      <c r="A12" s="49"/>
      <c r="D12" s="198" t="s">
        <v>19</v>
      </c>
      <c r="E12" s="167"/>
      <c r="F12" s="167"/>
      <c r="G12" s="167"/>
      <c r="H12" s="167"/>
      <c r="I12" s="189"/>
      <c r="J12" s="176">
        <v>11</v>
      </c>
      <c r="K12" s="168"/>
      <c r="L12" s="80"/>
      <c r="M12" s="80"/>
      <c r="N12" s="80"/>
      <c r="O12" s="81"/>
    </row>
    <row r="13" spans="1:26" ht="13.5" customHeight="1">
      <c r="A13" s="49"/>
      <c r="D13" s="193" t="s">
        <v>40</v>
      </c>
      <c r="E13" s="167"/>
      <c r="F13" s="167"/>
      <c r="G13" s="167"/>
      <c r="H13" s="167"/>
      <c r="I13" s="167"/>
      <c r="J13" s="183">
        <v>18</v>
      </c>
      <c r="K13" s="168"/>
      <c r="L13" s="80"/>
      <c r="M13" s="80"/>
      <c r="N13" s="80"/>
      <c r="O13" s="81"/>
    </row>
    <row r="14" spans="1:26" ht="13.5" customHeight="1">
      <c r="A14" s="49"/>
      <c r="D14" s="198" t="s">
        <v>41</v>
      </c>
      <c r="E14" s="167"/>
      <c r="F14" s="167"/>
      <c r="G14" s="167"/>
      <c r="H14" s="167"/>
      <c r="I14" s="189"/>
      <c r="J14" s="176">
        <v>22</v>
      </c>
      <c r="K14" s="168"/>
      <c r="L14" s="80"/>
      <c r="M14" s="80"/>
      <c r="N14" s="80"/>
      <c r="O14" s="81"/>
    </row>
    <row r="15" spans="1:26" ht="13.5" customHeight="1">
      <c r="A15" s="49"/>
      <c r="D15" s="193" t="s">
        <v>42</v>
      </c>
      <c r="E15" s="167"/>
      <c r="F15" s="167"/>
      <c r="G15" s="167"/>
      <c r="H15" s="167"/>
      <c r="I15" s="167"/>
      <c r="J15" s="183">
        <v>0</v>
      </c>
      <c r="K15" s="168"/>
      <c r="L15" s="80"/>
      <c r="M15" s="80"/>
      <c r="N15" s="80"/>
      <c r="O15" s="81"/>
    </row>
    <row r="16" spans="1:26" ht="13.5" customHeight="1">
      <c r="A16" s="49"/>
      <c r="D16" s="198" t="s">
        <v>43</v>
      </c>
      <c r="E16" s="167"/>
      <c r="F16" s="167"/>
      <c r="G16" s="167"/>
      <c r="H16" s="167"/>
      <c r="I16" s="189"/>
      <c r="J16" s="176">
        <v>0</v>
      </c>
      <c r="K16" s="168"/>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02" t="s">
        <v>44</v>
      </c>
      <c r="D18" s="150"/>
      <c r="E18" s="150"/>
      <c r="F18" s="150"/>
      <c r="G18" s="150"/>
      <c r="H18" s="80"/>
      <c r="I18" s="80"/>
      <c r="J18" s="80"/>
      <c r="K18" s="80"/>
      <c r="L18" s="80"/>
      <c r="M18" s="80"/>
      <c r="N18" s="80"/>
      <c r="O18" s="81"/>
    </row>
    <row r="19" spans="1:15" ht="13.5" customHeight="1">
      <c r="A19" s="49"/>
      <c r="D19" s="197" t="s">
        <v>45</v>
      </c>
      <c r="E19" s="167"/>
      <c r="F19" s="167"/>
      <c r="G19" s="167"/>
      <c r="H19" s="167"/>
      <c r="I19" s="189"/>
      <c r="J19" s="176">
        <v>22</v>
      </c>
      <c r="K19" s="168"/>
      <c r="L19" s="80"/>
      <c r="M19" s="80"/>
      <c r="N19" s="80"/>
      <c r="O19" s="81"/>
    </row>
    <row r="20" spans="1:15" ht="13.5" customHeight="1">
      <c r="A20" s="49"/>
      <c r="D20" s="200" t="s">
        <v>46</v>
      </c>
      <c r="E20" s="167"/>
      <c r="F20" s="167"/>
      <c r="G20" s="167"/>
      <c r="H20" s="167"/>
      <c r="I20" s="167"/>
      <c r="J20" s="183"/>
      <c r="K20" s="168"/>
      <c r="L20" s="80"/>
      <c r="M20" s="80"/>
      <c r="N20" s="80"/>
      <c r="O20" s="81"/>
    </row>
    <row r="21" spans="1:15" ht="13.5" customHeight="1">
      <c r="A21" s="49"/>
      <c r="D21" s="197" t="s">
        <v>47</v>
      </c>
      <c r="E21" s="167"/>
      <c r="F21" s="167"/>
      <c r="G21" s="167"/>
      <c r="H21" s="167"/>
      <c r="I21" s="189"/>
      <c r="J21" s="176"/>
      <c r="K21" s="168"/>
      <c r="L21" s="80"/>
      <c r="M21" s="80"/>
      <c r="N21" s="80"/>
      <c r="O21" s="81"/>
    </row>
    <row r="22" spans="1:15" ht="13.5" customHeight="1">
      <c r="A22" s="49"/>
      <c r="D22" s="200" t="s">
        <v>48</v>
      </c>
      <c r="E22" s="167"/>
      <c r="F22" s="167"/>
      <c r="G22" s="167"/>
      <c r="H22" s="167"/>
      <c r="I22" s="167"/>
      <c r="J22" s="183"/>
      <c r="K22" s="168"/>
      <c r="L22" s="80"/>
      <c r="M22" s="80"/>
      <c r="N22" s="80"/>
      <c r="O22" s="81"/>
    </row>
    <row r="23" spans="1:15" ht="13.5" customHeight="1">
      <c r="A23" s="49"/>
      <c r="D23" s="197" t="s">
        <v>49</v>
      </c>
      <c r="E23" s="167"/>
      <c r="F23" s="167"/>
      <c r="G23" s="167"/>
      <c r="H23" s="167"/>
      <c r="I23" s="189"/>
      <c r="J23" s="176"/>
      <c r="K23" s="168"/>
      <c r="L23" s="80"/>
      <c r="M23" s="80"/>
      <c r="N23" s="80"/>
      <c r="O23" s="81"/>
    </row>
    <row r="24" spans="1:15" ht="13.5" customHeight="1">
      <c r="A24" s="49"/>
      <c r="D24" s="200" t="s">
        <v>50</v>
      </c>
      <c r="E24" s="167"/>
      <c r="F24" s="167"/>
      <c r="G24" s="167"/>
      <c r="H24" s="167"/>
      <c r="I24" s="167"/>
      <c r="J24" s="183"/>
      <c r="K24" s="168"/>
      <c r="L24" s="80"/>
      <c r="M24" s="80"/>
      <c r="N24" s="80"/>
      <c r="O24" s="81"/>
    </row>
    <row r="25" spans="1:15" ht="13.5" customHeight="1">
      <c r="A25" s="49"/>
      <c r="D25" s="197" t="s">
        <v>51</v>
      </c>
      <c r="E25" s="167"/>
      <c r="F25" s="167"/>
      <c r="G25" s="167"/>
      <c r="H25" s="167"/>
      <c r="I25" s="189"/>
      <c r="J25" s="176"/>
      <c r="K25" s="168"/>
      <c r="L25" s="80"/>
      <c r="M25" s="80"/>
      <c r="N25" s="80"/>
      <c r="O25" s="81"/>
    </row>
    <row r="26" spans="1:15" ht="13.5" customHeight="1">
      <c r="A26" s="49"/>
      <c r="D26" s="201" t="s">
        <v>25</v>
      </c>
      <c r="E26" s="167"/>
      <c r="F26" s="167"/>
      <c r="G26" s="167"/>
      <c r="H26" s="167"/>
      <c r="I26" s="168"/>
      <c r="J26" s="185">
        <f>SUM(J19:K25)</f>
        <v>22</v>
      </c>
      <c r="K26" s="168"/>
      <c r="L26" s="80"/>
      <c r="M26" s="80"/>
      <c r="N26" s="80"/>
      <c r="O26" s="81"/>
    </row>
    <row r="27" spans="1:15" ht="7.5" customHeight="1">
      <c r="A27" s="49"/>
      <c r="E27" s="80"/>
      <c r="F27" s="80"/>
      <c r="G27" s="80"/>
      <c r="H27" s="80"/>
      <c r="I27" s="80"/>
      <c r="J27" s="80"/>
      <c r="K27" s="80"/>
      <c r="L27" s="80"/>
      <c r="M27" s="80"/>
      <c r="N27" s="80"/>
      <c r="O27" s="81"/>
    </row>
    <row r="28" spans="1:15" ht="13.5" customHeight="1">
      <c r="A28" s="49"/>
      <c r="C28" s="196" t="s">
        <v>52</v>
      </c>
      <c r="D28" s="150"/>
      <c r="E28" s="150"/>
      <c r="F28" s="150"/>
      <c r="G28" s="150"/>
      <c r="H28" s="80"/>
      <c r="I28" s="80"/>
      <c r="J28" s="80"/>
      <c r="K28" s="80"/>
      <c r="L28" s="80"/>
      <c r="M28" s="80"/>
      <c r="N28" s="80"/>
      <c r="O28" s="81"/>
    </row>
    <row r="29" spans="1:15" ht="13.5" customHeight="1">
      <c r="A29" s="49"/>
      <c r="C29" s="33"/>
      <c r="D29" s="197" t="s">
        <v>53</v>
      </c>
      <c r="E29" s="167"/>
      <c r="F29" s="167"/>
      <c r="G29" s="167"/>
      <c r="H29" s="167"/>
      <c r="I29" s="168"/>
      <c r="J29" s="176">
        <v>24</v>
      </c>
      <c r="K29" s="168"/>
      <c r="L29" s="80"/>
      <c r="M29" s="80"/>
      <c r="N29" s="80"/>
      <c r="O29" s="81"/>
    </row>
    <row r="30" spans="1:15" ht="7.5" customHeight="1">
      <c r="A30" s="49"/>
      <c r="E30" s="80"/>
      <c r="F30" s="80"/>
      <c r="G30" s="80"/>
      <c r="H30" s="80"/>
      <c r="I30" s="80"/>
      <c r="J30" s="80"/>
      <c r="K30" s="80"/>
      <c r="L30" s="80"/>
      <c r="M30" s="80"/>
      <c r="N30" s="80"/>
      <c r="O30" s="81"/>
    </row>
    <row r="31" spans="1:15" ht="18" customHeight="1">
      <c r="A31" s="49"/>
      <c r="C31" s="187" t="s">
        <v>54</v>
      </c>
      <c r="D31" s="150"/>
      <c r="E31" s="150"/>
      <c r="F31" s="150"/>
      <c r="G31" s="80"/>
      <c r="H31" s="80"/>
      <c r="I31" s="80"/>
      <c r="J31" s="80"/>
      <c r="K31" s="80"/>
      <c r="L31" s="80"/>
      <c r="M31" s="80"/>
      <c r="N31" s="80"/>
      <c r="O31" s="81"/>
    </row>
    <row r="32" spans="1:15" ht="13.5" customHeight="1">
      <c r="A32" s="49"/>
      <c r="D32" s="198" t="s">
        <v>23</v>
      </c>
      <c r="E32" s="167"/>
      <c r="F32" s="167"/>
      <c r="G32" s="167"/>
      <c r="H32" s="167"/>
      <c r="I32" s="168"/>
      <c r="J32" s="199">
        <v>44</v>
      </c>
      <c r="K32" s="168"/>
      <c r="L32" s="80"/>
      <c r="M32" s="80"/>
      <c r="N32" s="80"/>
      <c r="O32" s="81"/>
    </row>
    <row r="33" spans="1:15" ht="13.5" customHeight="1">
      <c r="A33" s="49"/>
      <c r="D33" s="193" t="s">
        <v>24</v>
      </c>
      <c r="E33" s="167"/>
      <c r="F33" s="167"/>
      <c r="G33" s="167"/>
      <c r="H33" s="167"/>
      <c r="I33" s="168"/>
      <c r="J33" s="186">
        <v>13</v>
      </c>
      <c r="K33" s="168"/>
      <c r="L33" s="80"/>
      <c r="M33" s="80"/>
      <c r="N33" s="80"/>
      <c r="O33" s="81"/>
    </row>
    <row r="34" spans="1:15" ht="13.5" customHeight="1">
      <c r="A34" s="49"/>
      <c r="D34" s="194" t="s">
        <v>25</v>
      </c>
      <c r="E34" s="167"/>
      <c r="F34" s="167"/>
      <c r="G34" s="167"/>
      <c r="H34" s="167"/>
      <c r="I34" s="168"/>
      <c r="J34" s="195">
        <f>SUM(J32:K33)</f>
        <v>57</v>
      </c>
      <c r="K34" s="168"/>
      <c r="L34" s="80"/>
      <c r="M34" s="80"/>
      <c r="N34" s="80"/>
      <c r="O34" s="81"/>
    </row>
    <row r="35" spans="1:15" ht="7.5" customHeight="1">
      <c r="A35" s="49"/>
      <c r="E35" s="80"/>
      <c r="F35" s="80"/>
      <c r="G35" s="80"/>
      <c r="H35" s="80"/>
      <c r="I35" s="80"/>
      <c r="J35" s="80"/>
      <c r="K35" s="80"/>
      <c r="L35" s="80"/>
      <c r="M35" s="80"/>
      <c r="N35" s="80"/>
      <c r="O35" s="81"/>
    </row>
    <row r="36" spans="1:15" ht="15.75" customHeight="1">
      <c r="A36" s="49"/>
      <c r="C36" s="187" t="s">
        <v>26</v>
      </c>
      <c r="D36" s="150"/>
      <c r="E36" s="150"/>
      <c r="F36" s="150"/>
      <c r="G36" s="150"/>
      <c r="H36" s="80"/>
      <c r="I36" s="80"/>
      <c r="J36" s="80"/>
      <c r="K36" s="80"/>
      <c r="L36" s="80"/>
      <c r="M36" s="80"/>
      <c r="N36" s="80"/>
      <c r="O36" s="81"/>
    </row>
    <row r="37" spans="1:15" ht="13.5" customHeight="1">
      <c r="A37" s="49"/>
      <c r="D37" s="198" t="s">
        <v>27</v>
      </c>
      <c r="E37" s="167"/>
      <c r="F37" s="167"/>
      <c r="G37" s="167"/>
      <c r="H37" s="167"/>
      <c r="I37" s="189"/>
      <c r="J37" s="176">
        <v>27</v>
      </c>
      <c r="K37" s="168"/>
      <c r="L37" s="80"/>
      <c r="M37" s="80"/>
      <c r="N37" s="80"/>
      <c r="O37" s="81"/>
    </row>
    <row r="38" spans="1:15" ht="13.5" customHeight="1">
      <c r="A38" s="79"/>
      <c r="D38" s="193" t="s">
        <v>28</v>
      </c>
      <c r="E38" s="167"/>
      <c r="F38" s="167"/>
      <c r="G38" s="167"/>
      <c r="H38" s="167"/>
      <c r="I38" s="167"/>
      <c r="J38" s="183">
        <v>14</v>
      </c>
      <c r="K38" s="168"/>
      <c r="L38" s="80"/>
      <c r="M38" s="80"/>
      <c r="N38" s="80"/>
      <c r="O38" s="81"/>
    </row>
    <row r="39" spans="1:15" ht="13.5" customHeight="1">
      <c r="A39" s="49"/>
      <c r="B39" s="33"/>
      <c r="D39" s="198" t="s">
        <v>29</v>
      </c>
      <c r="E39" s="167"/>
      <c r="F39" s="167"/>
      <c r="G39" s="167"/>
      <c r="H39" s="167"/>
      <c r="I39" s="189"/>
      <c r="J39" s="176">
        <v>15</v>
      </c>
      <c r="K39" s="168"/>
      <c r="L39" s="80"/>
      <c r="M39" s="80"/>
      <c r="N39" s="80"/>
      <c r="O39" s="81"/>
    </row>
    <row r="40" spans="1:15" ht="13.5" customHeight="1">
      <c r="A40" s="49"/>
      <c r="B40" s="33"/>
      <c r="D40" s="193" t="s">
        <v>30</v>
      </c>
      <c r="E40" s="167"/>
      <c r="F40" s="167"/>
      <c r="G40" s="167"/>
      <c r="H40" s="167"/>
      <c r="I40" s="167"/>
      <c r="J40" s="183"/>
      <c r="K40" s="168"/>
      <c r="L40" s="80"/>
      <c r="M40" s="80"/>
      <c r="N40" s="80"/>
      <c r="O40" s="81"/>
    </row>
    <row r="41" spans="1:15" ht="13.5" customHeight="1">
      <c r="A41" s="49"/>
      <c r="B41" s="33"/>
      <c r="D41" s="198" t="s">
        <v>31</v>
      </c>
      <c r="E41" s="167"/>
      <c r="F41" s="167"/>
      <c r="G41" s="167"/>
      <c r="H41" s="167"/>
      <c r="I41" s="189"/>
      <c r="J41" s="176"/>
      <c r="K41" s="168"/>
      <c r="L41" s="80"/>
      <c r="M41" s="80"/>
      <c r="N41" s="80"/>
      <c r="O41" s="81"/>
    </row>
    <row r="42" spans="1:15" ht="13.5" customHeight="1">
      <c r="A42" s="49"/>
      <c r="B42" s="33"/>
      <c r="D42" s="193" t="s">
        <v>32</v>
      </c>
      <c r="E42" s="167"/>
      <c r="F42" s="167"/>
      <c r="G42" s="167"/>
      <c r="H42" s="167"/>
      <c r="I42" s="167"/>
      <c r="J42" s="183"/>
      <c r="K42" s="168"/>
      <c r="L42" s="80"/>
      <c r="M42" s="80"/>
      <c r="N42" s="80"/>
      <c r="O42" s="81"/>
    </row>
    <row r="43" spans="1:15" ht="13.5" customHeight="1">
      <c r="A43" s="49"/>
      <c r="B43" s="33"/>
      <c r="D43" s="198" t="s">
        <v>33</v>
      </c>
      <c r="E43" s="167"/>
      <c r="F43" s="167"/>
      <c r="G43" s="167"/>
      <c r="H43" s="167"/>
      <c r="I43" s="189"/>
      <c r="J43" s="176">
        <v>1</v>
      </c>
      <c r="K43" s="168"/>
      <c r="L43" s="80"/>
      <c r="M43" s="80"/>
      <c r="N43" s="80"/>
      <c r="O43" s="81"/>
    </row>
    <row r="44" spans="1:15" ht="13.5" customHeight="1">
      <c r="A44" s="49"/>
      <c r="D44" s="194" t="s">
        <v>25</v>
      </c>
      <c r="E44" s="167"/>
      <c r="F44" s="167"/>
      <c r="G44" s="167"/>
      <c r="H44" s="167"/>
      <c r="I44" s="189"/>
      <c r="J44" s="185">
        <f>SUM(J37:K43)</f>
        <v>57</v>
      </c>
      <c r="K44" s="168"/>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177" t="s">
        <v>922</v>
      </c>
      <c r="B48" s="171"/>
      <c r="C48" s="171"/>
      <c r="D48" s="171"/>
      <c r="E48" s="171"/>
      <c r="F48" s="171"/>
      <c r="G48" s="171"/>
      <c r="H48" s="171"/>
      <c r="I48" s="171"/>
      <c r="J48" s="171"/>
      <c r="K48" s="171"/>
      <c r="L48" s="171"/>
      <c r="M48" s="171"/>
      <c r="N48" s="171"/>
      <c r="O48" s="172"/>
    </row>
    <row r="49" spans="1:26" ht="13.5" customHeight="1">
      <c r="A49" s="152"/>
      <c r="B49" s="150"/>
      <c r="C49" s="150"/>
      <c r="D49" s="150"/>
      <c r="E49" s="150"/>
      <c r="F49" s="150"/>
      <c r="G49" s="150"/>
      <c r="H49" s="150"/>
      <c r="I49" s="150"/>
      <c r="J49" s="150"/>
      <c r="K49" s="150"/>
      <c r="L49" s="150"/>
      <c r="M49" s="150"/>
      <c r="N49" s="150"/>
      <c r="O49" s="151"/>
    </row>
    <row r="50" spans="1:26" ht="13.5" customHeight="1">
      <c r="A50" s="152"/>
      <c r="B50" s="150"/>
      <c r="C50" s="150"/>
      <c r="D50" s="150"/>
      <c r="E50" s="150"/>
      <c r="F50" s="150"/>
      <c r="G50" s="150"/>
      <c r="H50" s="150"/>
      <c r="I50" s="150"/>
      <c r="J50" s="150"/>
      <c r="K50" s="150"/>
      <c r="L50" s="150"/>
      <c r="M50" s="150"/>
      <c r="N50" s="150"/>
      <c r="O50" s="151"/>
    </row>
    <row r="51" spans="1:26" ht="13.5" customHeight="1">
      <c r="A51" s="152"/>
      <c r="B51" s="150"/>
      <c r="C51" s="150"/>
      <c r="D51" s="150"/>
      <c r="E51" s="150"/>
      <c r="F51" s="150"/>
      <c r="G51" s="150"/>
      <c r="H51" s="150"/>
      <c r="I51" s="150"/>
      <c r="J51" s="150"/>
      <c r="K51" s="150"/>
      <c r="L51" s="150"/>
      <c r="M51" s="150"/>
      <c r="N51" s="150"/>
      <c r="O51" s="151"/>
    </row>
    <row r="52" spans="1:26" ht="7.5" customHeight="1">
      <c r="A52" s="152"/>
      <c r="B52" s="150"/>
      <c r="C52" s="150"/>
      <c r="D52" s="150"/>
      <c r="E52" s="150"/>
      <c r="F52" s="150"/>
      <c r="G52" s="150"/>
      <c r="H52" s="150"/>
      <c r="I52" s="150"/>
      <c r="J52" s="150"/>
      <c r="K52" s="150"/>
      <c r="L52" s="150"/>
      <c r="M52" s="150"/>
      <c r="N52" s="150"/>
      <c r="O52" s="151"/>
    </row>
    <row r="53" spans="1:26" ht="7.5" customHeight="1">
      <c r="A53" s="152"/>
      <c r="B53" s="150"/>
      <c r="C53" s="150"/>
      <c r="D53" s="150"/>
      <c r="E53" s="150"/>
      <c r="F53" s="150"/>
      <c r="G53" s="150"/>
      <c r="H53" s="150"/>
      <c r="I53" s="150"/>
      <c r="J53" s="150"/>
      <c r="K53" s="150"/>
      <c r="L53" s="150"/>
      <c r="M53" s="150"/>
      <c r="N53" s="150"/>
      <c r="O53" s="151"/>
    </row>
    <row r="54" spans="1:26" ht="7.5" customHeight="1">
      <c r="A54" s="170"/>
      <c r="B54" s="157"/>
      <c r="C54" s="157"/>
      <c r="D54" s="157"/>
      <c r="E54" s="157"/>
      <c r="F54" s="157"/>
      <c r="G54" s="157"/>
      <c r="H54" s="157"/>
      <c r="I54" s="157"/>
      <c r="J54" s="157"/>
      <c r="K54" s="157"/>
      <c r="L54" s="157"/>
      <c r="M54" s="157"/>
      <c r="N54" s="157"/>
      <c r="O54" s="158"/>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r:id="rId1"/>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K31" sqref="K31"/>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19" t="s">
        <v>16</v>
      </c>
      <c r="B1" s="167"/>
      <c r="C1" s="167"/>
      <c r="D1" s="167"/>
      <c r="E1" s="167"/>
      <c r="F1" s="189"/>
      <c r="G1" s="190" t="str">
        <f>'CONTACT INFORMATION'!$A$24</f>
        <v>Yolo</v>
      </c>
      <c r="H1" s="167"/>
      <c r="I1" s="168"/>
    </row>
    <row r="2" spans="1:26" ht="13.5" customHeight="1">
      <c r="A2" s="92"/>
      <c r="B2" s="92"/>
      <c r="C2" s="92"/>
      <c r="D2" s="92"/>
      <c r="E2" s="92"/>
      <c r="F2" s="92"/>
      <c r="G2" s="93"/>
      <c r="H2" s="93"/>
      <c r="I2" s="93"/>
    </row>
    <row r="3" spans="1:26" ht="12.75" customHeight="1">
      <c r="A3" s="220" t="s">
        <v>902</v>
      </c>
      <c r="B3" s="145"/>
      <c r="C3" s="145"/>
      <c r="D3" s="145"/>
      <c r="E3" s="145"/>
      <c r="F3" s="145"/>
      <c r="G3" s="145"/>
      <c r="H3" s="145"/>
      <c r="I3" s="146"/>
      <c r="J3" s="94"/>
      <c r="K3" s="94"/>
      <c r="L3" s="94"/>
      <c r="M3" s="94"/>
      <c r="N3" s="94"/>
      <c r="O3" s="94"/>
      <c r="P3" s="94"/>
      <c r="Q3" s="94"/>
      <c r="R3" s="94"/>
      <c r="S3" s="94"/>
      <c r="T3" s="94"/>
      <c r="U3" s="94"/>
      <c r="V3" s="94"/>
      <c r="W3" s="94"/>
      <c r="X3" s="94"/>
      <c r="Y3" s="94"/>
      <c r="Z3" s="94"/>
    </row>
    <row r="4" spans="1:26" ht="12.75" customHeight="1">
      <c r="A4" s="221" t="s">
        <v>56</v>
      </c>
      <c r="B4" s="161"/>
      <c r="C4" s="161"/>
      <c r="D4" s="161"/>
      <c r="E4" s="161"/>
      <c r="F4" s="161"/>
      <c r="G4" s="161"/>
      <c r="H4" s="161"/>
      <c r="I4" s="162"/>
      <c r="J4" s="94"/>
      <c r="K4" s="94"/>
      <c r="L4" s="94"/>
      <c r="M4" s="94"/>
      <c r="N4" s="94"/>
      <c r="O4" s="94"/>
      <c r="P4" s="94"/>
      <c r="Q4" s="94"/>
      <c r="R4" s="94"/>
      <c r="S4" s="94"/>
      <c r="T4" s="94"/>
      <c r="U4" s="94"/>
      <c r="V4" s="94"/>
      <c r="W4" s="94"/>
      <c r="X4" s="94"/>
      <c r="Y4" s="94"/>
      <c r="Z4" s="94"/>
    </row>
    <row r="5" spans="1:26" ht="21" customHeight="1">
      <c r="A5" s="222" t="s">
        <v>57</v>
      </c>
      <c r="B5" s="223"/>
      <c r="C5" s="223"/>
      <c r="D5" s="223"/>
      <c r="E5" s="223"/>
      <c r="F5" s="223"/>
      <c r="G5" s="223"/>
      <c r="H5" s="223"/>
      <c r="I5" s="224"/>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14" t="s">
        <v>58</v>
      </c>
      <c r="C8" s="150"/>
      <c r="D8" s="97"/>
      <c r="E8" s="217"/>
      <c r="F8" s="150"/>
      <c r="G8" s="150"/>
      <c r="H8" s="55"/>
      <c r="I8" s="96"/>
    </row>
    <row r="9" spans="1:26" ht="12.75" customHeight="1">
      <c r="A9" s="49"/>
      <c r="B9" s="59"/>
      <c r="C9" s="216" t="s">
        <v>59</v>
      </c>
      <c r="D9" s="167"/>
      <c r="E9" s="167"/>
      <c r="F9" s="168"/>
      <c r="G9" s="176">
        <v>72</v>
      </c>
      <c r="H9" s="168"/>
      <c r="I9" s="96"/>
    </row>
    <row r="10" spans="1:26" ht="12.75" customHeight="1">
      <c r="A10" s="49"/>
      <c r="B10" s="59"/>
      <c r="C10" s="218" t="s">
        <v>60</v>
      </c>
      <c r="D10" s="167"/>
      <c r="E10" s="167"/>
      <c r="F10" s="168"/>
      <c r="G10" s="183">
        <v>136</v>
      </c>
      <c r="H10" s="168"/>
      <c r="I10" s="96"/>
    </row>
    <row r="11" spans="1:26" ht="12.75" customHeight="1">
      <c r="A11" s="49"/>
      <c r="B11" s="59"/>
      <c r="C11" s="216" t="s">
        <v>61</v>
      </c>
      <c r="D11" s="167"/>
      <c r="E11" s="167"/>
      <c r="F11" s="168"/>
      <c r="G11" s="176">
        <v>0</v>
      </c>
      <c r="H11" s="168"/>
      <c r="I11" s="96"/>
    </row>
    <row r="12" spans="1:26" ht="12.75" customHeight="1">
      <c r="A12" s="49"/>
      <c r="B12" s="33"/>
      <c r="C12" s="184" t="s">
        <v>25</v>
      </c>
      <c r="D12" s="167"/>
      <c r="E12" s="167"/>
      <c r="F12" s="168"/>
      <c r="G12" s="209">
        <f>SUM(G9:H11)</f>
        <v>208</v>
      </c>
      <c r="H12" s="168"/>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196" t="s">
        <v>22</v>
      </c>
      <c r="C15" s="150"/>
      <c r="D15" s="150"/>
      <c r="E15" s="150"/>
      <c r="F15" s="150"/>
      <c r="G15" s="150"/>
      <c r="H15" s="150"/>
      <c r="I15" s="151"/>
    </row>
    <row r="16" spans="1:26" ht="12.75" customHeight="1">
      <c r="A16" s="49"/>
      <c r="C16" s="181" t="s">
        <v>23</v>
      </c>
      <c r="D16" s="167"/>
      <c r="E16" s="167"/>
      <c r="F16" s="168"/>
      <c r="G16" s="176">
        <v>159</v>
      </c>
      <c r="H16" s="168"/>
      <c r="I16" s="53"/>
    </row>
    <row r="17" spans="1:9" ht="12.75" customHeight="1">
      <c r="A17" s="49"/>
      <c r="C17" s="182" t="s">
        <v>24</v>
      </c>
      <c r="D17" s="167"/>
      <c r="E17" s="167"/>
      <c r="F17" s="168"/>
      <c r="G17" s="183">
        <v>49</v>
      </c>
      <c r="H17" s="168"/>
      <c r="I17" s="53"/>
    </row>
    <row r="18" spans="1:9" ht="12.75" customHeight="1">
      <c r="A18" s="49"/>
      <c r="C18" s="184" t="s">
        <v>25</v>
      </c>
      <c r="D18" s="167"/>
      <c r="E18" s="167"/>
      <c r="F18" s="168"/>
      <c r="G18" s="185">
        <f>SUM(G16:H17)</f>
        <v>208</v>
      </c>
      <c r="H18" s="168"/>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81" t="s">
        <v>29</v>
      </c>
      <c r="D22" s="167"/>
      <c r="E22" s="167"/>
      <c r="F22" s="168"/>
      <c r="G22" s="176">
        <v>28</v>
      </c>
      <c r="H22" s="168"/>
      <c r="I22" s="53"/>
    </row>
    <row r="23" spans="1:9" ht="12.75" customHeight="1">
      <c r="A23" s="49"/>
      <c r="C23" s="182" t="s">
        <v>28</v>
      </c>
      <c r="D23" s="167"/>
      <c r="E23" s="167"/>
      <c r="F23" s="168"/>
      <c r="G23" s="183">
        <v>60</v>
      </c>
      <c r="H23" s="168"/>
      <c r="I23" s="53"/>
    </row>
    <row r="24" spans="1:9" ht="12.75" customHeight="1">
      <c r="A24" s="49"/>
      <c r="C24" s="181" t="s">
        <v>27</v>
      </c>
      <c r="D24" s="167"/>
      <c r="E24" s="167"/>
      <c r="F24" s="168"/>
      <c r="G24" s="176">
        <v>99</v>
      </c>
      <c r="H24" s="168"/>
      <c r="I24" s="53"/>
    </row>
    <row r="25" spans="1:9" ht="12.75" customHeight="1">
      <c r="A25" s="49"/>
      <c r="C25" s="182" t="s">
        <v>50</v>
      </c>
      <c r="D25" s="167"/>
      <c r="E25" s="167"/>
      <c r="F25" s="168"/>
      <c r="G25" s="183">
        <v>21</v>
      </c>
      <c r="H25" s="168"/>
      <c r="I25" s="53"/>
    </row>
    <row r="26" spans="1:9" ht="12.75" customHeight="1">
      <c r="A26" s="49"/>
      <c r="C26" s="184" t="s">
        <v>25</v>
      </c>
      <c r="D26" s="167"/>
      <c r="E26" s="167"/>
      <c r="F26" s="168"/>
      <c r="G26" s="185">
        <f>SUM(G22:H25)</f>
        <v>208</v>
      </c>
      <c r="H26" s="168"/>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15" t="s">
        <v>34</v>
      </c>
      <c r="B31" s="150"/>
      <c r="C31" s="150"/>
      <c r="D31" s="150"/>
      <c r="E31" s="150"/>
      <c r="F31" s="150"/>
      <c r="G31" s="150"/>
      <c r="H31" s="150"/>
      <c r="I31" s="150"/>
    </row>
    <row r="32" spans="1:9" ht="13.5" customHeight="1">
      <c r="A32" s="157"/>
      <c r="B32" s="157"/>
      <c r="C32" s="157"/>
      <c r="D32" s="157"/>
      <c r="E32" s="157"/>
      <c r="F32" s="157"/>
      <c r="G32" s="157"/>
      <c r="H32" s="157"/>
      <c r="I32" s="157"/>
    </row>
    <row r="33" spans="1:9" ht="12.75" customHeight="1">
      <c r="A33" s="177" t="s">
        <v>915</v>
      </c>
      <c r="B33" s="171"/>
      <c r="C33" s="171"/>
      <c r="D33" s="171"/>
      <c r="E33" s="171"/>
      <c r="F33" s="171"/>
      <c r="G33" s="171"/>
      <c r="H33" s="171"/>
      <c r="I33" s="172"/>
    </row>
    <row r="34" spans="1:9" ht="12.75" customHeight="1">
      <c r="A34" s="152"/>
      <c r="B34" s="150"/>
      <c r="C34" s="150"/>
      <c r="D34" s="150"/>
      <c r="E34" s="150"/>
      <c r="F34" s="150"/>
      <c r="G34" s="150"/>
      <c r="H34" s="150"/>
      <c r="I34" s="151"/>
    </row>
    <row r="35" spans="1:9" ht="12.75" customHeight="1">
      <c r="A35" s="152"/>
      <c r="B35" s="150"/>
      <c r="C35" s="150"/>
      <c r="D35" s="150"/>
      <c r="E35" s="150"/>
      <c r="F35" s="150"/>
      <c r="G35" s="150"/>
      <c r="H35" s="150"/>
      <c r="I35" s="151"/>
    </row>
    <row r="36" spans="1:9" ht="12.75" customHeight="1">
      <c r="A36" s="152"/>
      <c r="B36" s="150"/>
      <c r="C36" s="150"/>
      <c r="D36" s="150"/>
      <c r="E36" s="150"/>
      <c r="F36" s="150"/>
      <c r="G36" s="150"/>
      <c r="H36" s="150"/>
      <c r="I36" s="151"/>
    </row>
    <row r="37" spans="1:9" ht="12.75" customHeight="1">
      <c r="A37" s="152"/>
      <c r="B37" s="150"/>
      <c r="C37" s="150"/>
      <c r="D37" s="150"/>
      <c r="E37" s="150"/>
      <c r="F37" s="150"/>
      <c r="G37" s="150"/>
      <c r="H37" s="150"/>
      <c r="I37" s="151"/>
    </row>
    <row r="38" spans="1:9" ht="12.75" customHeight="1">
      <c r="A38" s="152"/>
      <c r="B38" s="150"/>
      <c r="C38" s="150"/>
      <c r="D38" s="150"/>
      <c r="E38" s="150"/>
      <c r="F38" s="150"/>
      <c r="G38" s="150"/>
      <c r="H38" s="150"/>
      <c r="I38" s="151"/>
    </row>
    <row r="39" spans="1:9" ht="12.75" customHeight="1">
      <c r="A39" s="152"/>
      <c r="B39" s="150"/>
      <c r="C39" s="150"/>
      <c r="D39" s="150"/>
      <c r="E39" s="150"/>
      <c r="F39" s="150"/>
      <c r="G39" s="150"/>
      <c r="H39" s="150"/>
      <c r="I39" s="151"/>
    </row>
    <row r="40" spans="1:9" ht="12.75" customHeight="1">
      <c r="A40" s="152"/>
      <c r="B40" s="150"/>
      <c r="C40" s="150"/>
      <c r="D40" s="150"/>
      <c r="E40" s="150"/>
      <c r="F40" s="150"/>
      <c r="G40" s="150"/>
      <c r="H40" s="150"/>
      <c r="I40" s="151"/>
    </row>
    <row r="41" spans="1:9" ht="12.75" customHeight="1">
      <c r="A41" s="152"/>
      <c r="B41" s="150"/>
      <c r="C41" s="150"/>
      <c r="D41" s="150"/>
      <c r="E41" s="150"/>
      <c r="F41" s="150"/>
      <c r="G41" s="150"/>
      <c r="H41" s="150"/>
      <c r="I41" s="151"/>
    </row>
    <row r="42" spans="1:9" ht="12.75" customHeight="1">
      <c r="A42" s="152"/>
      <c r="B42" s="150"/>
      <c r="C42" s="150"/>
      <c r="D42" s="150"/>
      <c r="E42" s="150"/>
      <c r="F42" s="150"/>
      <c r="G42" s="150"/>
      <c r="H42" s="150"/>
      <c r="I42" s="151"/>
    </row>
    <row r="43" spans="1:9" ht="12.75" customHeight="1">
      <c r="A43" s="152"/>
      <c r="B43" s="150"/>
      <c r="C43" s="150"/>
      <c r="D43" s="150"/>
      <c r="E43" s="150"/>
      <c r="F43" s="150"/>
      <c r="G43" s="150"/>
      <c r="H43" s="150"/>
      <c r="I43" s="151"/>
    </row>
    <row r="44" spans="1:9" ht="12.75" customHeight="1">
      <c r="A44" s="152"/>
      <c r="B44" s="150"/>
      <c r="C44" s="150"/>
      <c r="D44" s="150"/>
      <c r="E44" s="150"/>
      <c r="F44" s="150"/>
      <c r="G44" s="150"/>
      <c r="H44" s="150"/>
      <c r="I44" s="151"/>
    </row>
    <row r="45" spans="1:9" ht="12.75" customHeight="1">
      <c r="A45" s="152"/>
      <c r="B45" s="150"/>
      <c r="C45" s="150"/>
      <c r="D45" s="150"/>
      <c r="E45" s="150"/>
      <c r="F45" s="150"/>
      <c r="G45" s="150"/>
      <c r="H45" s="150"/>
      <c r="I45" s="151"/>
    </row>
    <row r="46" spans="1:9" ht="12.75" customHeight="1">
      <c r="A46" s="152"/>
      <c r="B46" s="150"/>
      <c r="C46" s="150"/>
      <c r="D46" s="150"/>
      <c r="E46" s="150"/>
      <c r="F46" s="150"/>
      <c r="G46" s="150"/>
      <c r="H46" s="150"/>
      <c r="I46" s="151"/>
    </row>
    <row r="47" spans="1:9" ht="12.75" customHeight="1">
      <c r="A47" s="152"/>
      <c r="B47" s="150"/>
      <c r="C47" s="150"/>
      <c r="D47" s="150"/>
      <c r="E47" s="150"/>
      <c r="F47" s="150"/>
      <c r="G47" s="150"/>
      <c r="H47" s="150"/>
      <c r="I47" s="151"/>
    </row>
    <row r="48" spans="1:9" ht="12.75" customHeight="1">
      <c r="A48" s="152"/>
      <c r="B48" s="150"/>
      <c r="C48" s="150"/>
      <c r="D48" s="150"/>
      <c r="E48" s="150"/>
      <c r="F48" s="150"/>
      <c r="G48" s="150"/>
      <c r="H48" s="150"/>
      <c r="I48" s="151"/>
    </row>
    <row r="49" spans="1:9" ht="12.75" customHeight="1">
      <c r="A49" s="152"/>
      <c r="B49" s="150"/>
      <c r="C49" s="150"/>
      <c r="D49" s="150"/>
      <c r="E49" s="150"/>
      <c r="F49" s="150"/>
      <c r="G49" s="150"/>
      <c r="H49" s="150"/>
      <c r="I49" s="151"/>
    </row>
    <row r="50" spans="1:9" ht="12.75" customHeight="1">
      <c r="A50" s="170"/>
      <c r="B50" s="157"/>
      <c r="C50" s="157"/>
      <c r="D50" s="157"/>
      <c r="E50" s="157"/>
      <c r="F50" s="157"/>
      <c r="G50" s="157"/>
      <c r="H50" s="157"/>
      <c r="I50" s="158"/>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zoomScale="115" zoomScaleNormal="115" workbookViewId="0">
      <selection activeCell="A57" sqref="A57"/>
    </sheetView>
  </sheetViews>
  <sheetFormatPr defaultColWidth="12.5703125" defaultRowHeight="15" customHeight="1"/>
  <cols>
    <col min="1" max="26" width="9.140625" customWidth="1"/>
  </cols>
  <sheetData>
    <row r="1" spans="1:15" ht="12.75" customHeight="1">
      <c r="A1" s="210" t="s">
        <v>62</v>
      </c>
      <c r="B1" s="167"/>
      <c r="C1" s="167"/>
      <c r="D1" s="167"/>
      <c r="E1" s="167"/>
      <c r="F1" s="167"/>
      <c r="G1" s="189"/>
      <c r="H1" s="211" t="str">
        <f>'CONTACT INFORMATION'!$A$24</f>
        <v>Yolo</v>
      </c>
      <c r="I1" s="167"/>
      <c r="J1" s="168"/>
      <c r="K1" s="100"/>
      <c r="L1" s="68"/>
    </row>
    <row r="2" spans="1:15" ht="7.5" customHeight="1">
      <c r="A2" s="76"/>
      <c r="B2" s="76"/>
      <c r="C2" s="76"/>
      <c r="D2" s="76"/>
      <c r="E2" s="76"/>
      <c r="F2" s="76"/>
      <c r="G2" s="76"/>
      <c r="H2" s="76"/>
      <c r="I2" s="76"/>
      <c r="J2" s="76"/>
      <c r="K2" s="68"/>
      <c r="L2" s="68"/>
    </row>
    <row r="3" spans="1:15" ht="12.75" customHeight="1">
      <c r="A3" s="225" t="s">
        <v>63</v>
      </c>
      <c r="B3" s="145"/>
      <c r="C3" s="145"/>
      <c r="D3" s="145"/>
      <c r="E3" s="145"/>
      <c r="F3" s="145"/>
      <c r="G3" s="145"/>
      <c r="H3" s="145"/>
      <c r="I3" s="145"/>
      <c r="J3" s="146"/>
    </row>
    <row r="4" spans="1:15" ht="12.75" customHeight="1">
      <c r="A4" s="101"/>
      <c r="B4" s="102"/>
      <c r="C4" s="102"/>
      <c r="D4" s="102"/>
      <c r="E4" s="102"/>
      <c r="F4" s="102"/>
      <c r="G4" s="102"/>
      <c r="H4" s="102"/>
      <c r="I4" s="102"/>
      <c r="J4" s="103"/>
    </row>
    <row r="5" spans="1:15" ht="15" customHeight="1">
      <c r="A5" s="226" t="s">
        <v>64</v>
      </c>
      <c r="B5" s="171"/>
      <c r="C5" s="171"/>
      <c r="D5" s="171"/>
      <c r="E5" s="171"/>
      <c r="F5" s="171"/>
      <c r="G5" s="171"/>
      <c r="H5" s="171"/>
      <c r="I5" s="171"/>
      <c r="J5" s="172"/>
    </row>
    <row r="6" spans="1:15" ht="15" customHeight="1">
      <c r="A6" s="152"/>
      <c r="B6" s="150"/>
      <c r="C6" s="150"/>
      <c r="D6" s="150"/>
      <c r="E6" s="150"/>
      <c r="F6" s="150"/>
      <c r="G6" s="150"/>
      <c r="H6" s="150"/>
      <c r="I6" s="150"/>
      <c r="J6" s="151"/>
    </row>
    <row r="7" spans="1:15" ht="15" customHeight="1">
      <c r="A7" s="170"/>
      <c r="B7" s="157"/>
      <c r="C7" s="157"/>
      <c r="D7" s="157"/>
      <c r="E7" s="157"/>
      <c r="F7" s="157"/>
      <c r="G7" s="157"/>
      <c r="H7" s="157"/>
      <c r="I7" s="157"/>
      <c r="J7" s="158"/>
    </row>
    <row r="8" spans="1:15" ht="15" customHeight="1">
      <c r="A8" s="227" t="s">
        <v>917</v>
      </c>
      <c r="B8" s="228"/>
      <c r="C8" s="228"/>
      <c r="D8" s="228"/>
      <c r="E8" s="228"/>
      <c r="F8" s="228"/>
      <c r="G8" s="228"/>
      <c r="H8" s="228"/>
      <c r="I8" s="228"/>
      <c r="J8" s="229"/>
      <c r="O8" s="86"/>
    </row>
    <row r="9" spans="1:15" ht="15" customHeight="1">
      <c r="A9" s="230"/>
      <c r="B9" s="231"/>
      <c r="C9" s="231"/>
      <c r="D9" s="231"/>
      <c r="E9" s="231"/>
      <c r="F9" s="231"/>
      <c r="G9" s="231"/>
      <c r="H9" s="231"/>
      <c r="I9" s="231"/>
      <c r="J9" s="232"/>
    </row>
    <row r="10" spans="1:15" ht="14.25" customHeight="1">
      <c r="A10" s="230"/>
      <c r="B10" s="231"/>
      <c r="C10" s="231"/>
      <c r="D10" s="231"/>
      <c r="E10" s="231"/>
      <c r="F10" s="231"/>
      <c r="G10" s="231"/>
      <c r="H10" s="231"/>
      <c r="I10" s="231"/>
      <c r="J10" s="232"/>
    </row>
    <row r="11" spans="1:15" ht="12.75" customHeight="1">
      <c r="A11" s="230"/>
      <c r="B11" s="231"/>
      <c r="C11" s="231"/>
      <c r="D11" s="231"/>
      <c r="E11" s="231"/>
      <c r="F11" s="231"/>
      <c r="G11" s="231"/>
      <c r="H11" s="231"/>
      <c r="I11" s="231"/>
      <c r="J11" s="232"/>
    </row>
    <row r="12" spans="1:15" ht="12.75" customHeight="1">
      <c r="A12" s="230"/>
      <c r="B12" s="231"/>
      <c r="C12" s="231"/>
      <c r="D12" s="231"/>
      <c r="E12" s="231"/>
      <c r="F12" s="231"/>
      <c r="G12" s="231"/>
      <c r="H12" s="231"/>
      <c r="I12" s="231"/>
      <c r="J12" s="232"/>
    </row>
    <row r="13" spans="1:15" ht="12.75" customHeight="1">
      <c r="A13" s="230"/>
      <c r="B13" s="231"/>
      <c r="C13" s="231"/>
      <c r="D13" s="231"/>
      <c r="E13" s="231"/>
      <c r="F13" s="231"/>
      <c r="G13" s="231"/>
      <c r="H13" s="231"/>
      <c r="I13" s="231"/>
      <c r="J13" s="232"/>
    </row>
    <row r="14" spans="1:15" ht="12.75" customHeight="1">
      <c r="A14" s="230"/>
      <c r="B14" s="231"/>
      <c r="C14" s="231"/>
      <c r="D14" s="231"/>
      <c r="E14" s="231"/>
      <c r="F14" s="231"/>
      <c r="G14" s="231"/>
      <c r="H14" s="231"/>
      <c r="I14" s="231"/>
      <c r="J14" s="232"/>
    </row>
    <row r="15" spans="1:15" ht="12.75" customHeight="1">
      <c r="A15" s="230"/>
      <c r="B15" s="231"/>
      <c r="C15" s="231"/>
      <c r="D15" s="231"/>
      <c r="E15" s="231"/>
      <c r="F15" s="231"/>
      <c r="G15" s="231"/>
      <c r="H15" s="231"/>
      <c r="I15" s="231"/>
      <c r="J15" s="232"/>
    </row>
    <row r="16" spans="1:15" ht="12.75" customHeight="1">
      <c r="A16" s="230"/>
      <c r="B16" s="231"/>
      <c r="C16" s="231"/>
      <c r="D16" s="231"/>
      <c r="E16" s="231"/>
      <c r="F16" s="231"/>
      <c r="G16" s="231"/>
      <c r="H16" s="231"/>
      <c r="I16" s="231"/>
      <c r="J16" s="232"/>
    </row>
    <row r="17" spans="1:10" ht="12.75" customHeight="1">
      <c r="A17" s="230"/>
      <c r="B17" s="231"/>
      <c r="C17" s="231"/>
      <c r="D17" s="231"/>
      <c r="E17" s="231"/>
      <c r="F17" s="231"/>
      <c r="G17" s="231"/>
      <c r="H17" s="231"/>
      <c r="I17" s="231"/>
      <c r="J17" s="232"/>
    </row>
    <row r="18" spans="1:10" ht="12.75" customHeight="1">
      <c r="A18" s="230"/>
      <c r="B18" s="231"/>
      <c r="C18" s="231"/>
      <c r="D18" s="231"/>
      <c r="E18" s="231"/>
      <c r="F18" s="231"/>
      <c r="G18" s="231"/>
      <c r="H18" s="231"/>
      <c r="I18" s="231"/>
      <c r="J18" s="232"/>
    </row>
    <row r="19" spans="1:10" ht="12.75" customHeight="1">
      <c r="A19" s="230"/>
      <c r="B19" s="231"/>
      <c r="C19" s="231"/>
      <c r="D19" s="231"/>
      <c r="E19" s="231"/>
      <c r="F19" s="231"/>
      <c r="G19" s="231"/>
      <c r="H19" s="231"/>
      <c r="I19" s="231"/>
      <c r="J19" s="232"/>
    </row>
    <row r="20" spans="1:10" ht="12.75" customHeight="1">
      <c r="A20" s="230"/>
      <c r="B20" s="231"/>
      <c r="C20" s="231"/>
      <c r="D20" s="231"/>
      <c r="E20" s="231"/>
      <c r="F20" s="231"/>
      <c r="G20" s="231"/>
      <c r="H20" s="231"/>
      <c r="I20" s="231"/>
      <c r="J20" s="232"/>
    </row>
    <row r="21" spans="1:10" ht="12.75" customHeight="1">
      <c r="A21" s="230"/>
      <c r="B21" s="231"/>
      <c r="C21" s="231"/>
      <c r="D21" s="231"/>
      <c r="E21" s="231"/>
      <c r="F21" s="231"/>
      <c r="G21" s="231"/>
      <c r="H21" s="231"/>
      <c r="I21" s="231"/>
      <c r="J21" s="232"/>
    </row>
    <row r="22" spans="1:10" ht="12.75" customHeight="1">
      <c r="A22" s="230"/>
      <c r="B22" s="231"/>
      <c r="C22" s="231"/>
      <c r="D22" s="231"/>
      <c r="E22" s="231"/>
      <c r="F22" s="231"/>
      <c r="G22" s="231"/>
      <c r="H22" s="231"/>
      <c r="I22" s="231"/>
      <c r="J22" s="232"/>
    </row>
    <row r="23" spans="1:10" ht="12.75" customHeight="1">
      <c r="A23" s="230"/>
      <c r="B23" s="231"/>
      <c r="C23" s="231"/>
      <c r="D23" s="231"/>
      <c r="E23" s="231"/>
      <c r="F23" s="231"/>
      <c r="G23" s="231"/>
      <c r="H23" s="231"/>
      <c r="I23" s="231"/>
      <c r="J23" s="232"/>
    </row>
    <row r="24" spans="1:10" ht="12.75" customHeight="1">
      <c r="A24" s="230"/>
      <c r="B24" s="231"/>
      <c r="C24" s="231"/>
      <c r="D24" s="231"/>
      <c r="E24" s="231"/>
      <c r="F24" s="231"/>
      <c r="G24" s="231"/>
      <c r="H24" s="231"/>
      <c r="I24" s="231"/>
      <c r="J24" s="232"/>
    </row>
    <row r="25" spans="1:10" ht="12.75" customHeight="1">
      <c r="A25" s="230"/>
      <c r="B25" s="231"/>
      <c r="C25" s="231"/>
      <c r="D25" s="231"/>
      <c r="E25" s="231"/>
      <c r="F25" s="231"/>
      <c r="G25" s="231"/>
      <c r="H25" s="231"/>
      <c r="I25" s="231"/>
      <c r="J25" s="232"/>
    </row>
    <row r="26" spans="1:10" ht="12.75" customHeight="1">
      <c r="A26" s="230"/>
      <c r="B26" s="231"/>
      <c r="C26" s="231"/>
      <c r="D26" s="231"/>
      <c r="E26" s="231"/>
      <c r="F26" s="231"/>
      <c r="G26" s="231"/>
      <c r="H26" s="231"/>
      <c r="I26" s="231"/>
      <c r="J26" s="232"/>
    </row>
    <row r="27" spans="1:10" ht="12.75" customHeight="1">
      <c r="A27" s="230"/>
      <c r="B27" s="231"/>
      <c r="C27" s="231"/>
      <c r="D27" s="231"/>
      <c r="E27" s="231"/>
      <c r="F27" s="231"/>
      <c r="G27" s="231"/>
      <c r="H27" s="231"/>
      <c r="I27" s="231"/>
      <c r="J27" s="232"/>
    </row>
    <row r="28" spans="1:10" ht="12.75" customHeight="1">
      <c r="A28" s="230"/>
      <c r="B28" s="231"/>
      <c r="C28" s="231"/>
      <c r="D28" s="231"/>
      <c r="E28" s="231"/>
      <c r="F28" s="231"/>
      <c r="G28" s="231"/>
      <c r="H28" s="231"/>
      <c r="I28" s="231"/>
      <c r="J28" s="232"/>
    </row>
    <row r="29" spans="1:10" ht="12.75" customHeight="1">
      <c r="A29" s="230"/>
      <c r="B29" s="231"/>
      <c r="C29" s="231"/>
      <c r="D29" s="231"/>
      <c r="E29" s="231"/>
      <c r="F29" s="231"/>
      <c r="G29" s="231"/>
      <c r="H29" s="231"/>
      <c r="I29" s="231"/>
      <c r="J29" s="232"/>
    </row>
    <row r="30" spans="1:10" ht="12.75" customHeight="1">
      <c r="A30" s="230"/>
      <c r="B30" s="231"/>
      <c r="C30" s="231"/>
      <c r="D30" s="231"/>
      <c r="E30" s="231"/>
      <c r="F30" s="231"/>
      <c r="G30" s="231"/>
      <c r="H30" s="231"/>
      <c r="I30" s="231"/>
      <c r="J30" s="232"/>
    </row>
    <row r="31" spans="1:10" ht="12.75" customHeight="1">
      <c r="A31" s="230"/>
      <c r="B31" s="231"/>
      <c r="C31" s="231"/>
      <c r="D31" s="231"/>
      <c r="E31" s="231"/>
      <c r="F31" s="231"/>
      <c r="G31" s="231"/>
      <c r="H31" s="231"/>
      <c r="I31" s="231"/>
      <c r="J31" s="232"/>
    </row>
    <row r="32" spans="1:10" ht="12.75" customHeight="1">
      <c r="A32" s="230"/>
      <c r="B32" s="231"/>
      <c r="C32" s="231"/>
      <c r="D32" s="231"/>
      <c r="E32" s="231"/>
      <c r="F32" s="231"/>
      <c r="G32" s="231"/>
      <c r="H32" s="231"/>
      <c r="I32" s="231"/>
      <c r="J32" s="232"/>
    </row>
    <row r="33" spans="1:10" ht="12.75" customHeight="1">
      <c r="A33" s="230"/>
      <c r="B33" s="231"/>
      <c r="C33" s="231"/>
      <c r="D33" s="231"/>
      <c r="E33" s="231"/>
      <c r="F33" s="231"/>
      <c r="G33" s="231"/>
      <c r="H33" s="231"/>
      <c r="I33" s="231"/>
      <c r="J33" s="232"/>
    </row>
    <row r="34" spans="1:10" ht="12.75" customHeight="1">
      <c r="A34" s="230"/>
      <c r="B34" s="231"/>
      <c r="C34" s="231"/>
      <c r="D34" s="231"/>
      <c r="E34" s="231"/>
      <c r="F34" s="231"/>
      <c r="G34" s="231"/>
      <c r="H34" s="231"/>
      <c r="I34" s="231"/>
      <c r="J34" s="232"/>
    </row>
    <row r="35" spans="1:10" ht="12.75" customHeight="1">
      <c r="A35" s="230"/>
      <c r="B35" s="231"/>
      <c r="C35" s="231"/>
      <c r="D35" s="231"/>
      <c r="E35" s="231"/>
      <c r="F35" s="231"/>
      <c r="G35" s="231"/>
      <c r="H35" s="231"/>
      <c r="I35" s="231"/>
      <c r="J35" s="232"/>
    </row>
    <row r="36" spans="1:10" ht="12.75" customHeight="1">
      <c r="A36" s="230"/>
      <c r="B36" s="231"/>
      <c r="C36" s="231"/>
      <c r="D36" s="231"/>
      <c r="E36" s="231"/>
      <c r="F36" s="231"/>
      <c r="G36" s="231"/>
      <c r="H36" s="231"/>
      <c r="I36" s="231"/>
      <c r="J36" s="232"/>
    </row>
    <row r="37" spans="1:10" ht="12.75" customHeight="1">
      <c r="A37" s="230"/>
      <c r="B37" s="231"/>
      <c r="C37" s="231"/>
      <c r="D37" s="231"/>
      <c r="E37" s="231"/>
      <c r="F37" s="231"/>
      <c r="G37" s="231"/>
      <c r="H37" s="231"/>
      <c r="I37" s="231"/>
      <c r="J37" s="232"/>
    </row>
    <row r="38" spans="1:10" ht="12.75" customHeight="1">
      <c r="A38" s="230"/>
      <c r="B38" s="231"/>
      <c r="C38" s="231"/>
      <c r="D38" s="231"/>
      <c r="E38" s="231"/>
      <c r="F38" s="231"/>
      <c r="G38" s="231"/>
      <c r="H38" s="231"/>
      <c r="I38" s="231"/>
      <c r="J38" s="232"/>
    </row>
    <row r="39" spans="1:10" ht="12.75" customHeight="1">
      <c r="A39" s="230"/>
      <c r="B39" s="231"/>
      <c r="C39" s="231"/>
      <c r="D39" s="231"/>
      <c r="E39" s="231"/>
      <c r="F39" s="231"/>
      <c r="G39" s="231"/>
      <c r="H39" s="231"/>
      <c r="I39" s="231"/>
      <c r="J39" s="232"/>
    </row>
    <row r="40" spans="1:10" ht="12.75" customHeight="1">
      <c r="A40" s="230"/>
      <c r="B40" s="231"/>
      <c r="C40" s="231"/>
      <c r="D40" s="231"/>
      <c r="E40" s="231"/>
      <c r="F40" s="231"/>
      <c r="G40" s="231"/>
      <c r="H40" s="231"/>
      <c r="I40" s="231"/>
      <c r="J40" s="232"/>
    </row>
    <row r="41" spans="1:10" ht="12.75" customHeight="1">
      <c r="A41" s="230"/>
      <c r="B41" s="231"/>
      <c r="C41" s="231"/>
      <c r="D41" s="231"/>
      <c r="E41" s="231"/>
      <c r="F41" s="231"/>
      <c r="G41" s="231"/>
      <c r="H41" s="231"/>
      <c r="I41" s="231"/>
      <c r="J41" s="232"/>
    </row>
    <row r="42" spans="1:10" ht="12.75" customHeight="1">
      <c r="A42" s="230"/>
      <c r="B42" s="231"/>
      <c r="C42" s="231"/>
      <c r="D42" s="231"/>
      <c r="E42" s="231"/>
      <c r="F42" s="231"/>
      <c r="G42" s="231"/>
      <c r="H42" s="231"/>
      <c r="I42" s="231"/>
      <c r="J42" s="232"/>
    </row>
    <row r="43" spans="1:10" ht="12.75" customHeight="1">
      <c r="A43" s="230"/>
      <c r="B43" s="231"/>
      <c r="C43" s="231"/>
      <c r="D43" s="231"/>
      <c r="E43" s="231"/>
      <c r="F43" s="231"/>
      <c r="G43" s="231"/>
      <c r="H43" s="231"/>
      <c r="I43" s="231"/>
      <c r="J43" s="232"/>
    </row>
    <row r="44" spans="1:10" ht="12.75" customHeight="1">
      <c r="A44" s="230"/>
      <c r="B44" s="231"/>
      <c r="C44" s="231"/>
      <c r="D44" s="231"/>
      <c r="E44" s="231"/>
      <c r="F44" s="231"/>
      <c r="G44" s="231"/>
      <c r="H44" s="231"/>
      <c r="I44" s="231"/>
      <c r="J44" s="232"/>
    </row>
    <row r="45" spans="1:10" ht="12.75" customHeight="1">
      <c r="A45" s="230"/>
      <c r="B45" s="231"/>
      <c r="C45" s="231"/>
      <c r="D45" s="231"/>
      <c r="E45" s="231"/>
      <c r="F45" s="231"/>
      <c r="G45" s="231"/>
      <c r="H45" s="231"/>
      <c r="I45" s="231"/>
      <c r="J45" s="232"/>
    </row>
    <row r="46" spans="1:10" ht="12.75" customHeight="1">
      <c r="A46" s="230"/>
      <c r="B46" s="231"/>
      <c r="C46" s="231"/>
      <c r="D46" s="231"/>
      <c r="E46" s="231"/>
      <c r="F46" s="231"/>
      <c r="G46" s="231"/>
      <c r="H46" s="231"/>
      <c r="I46" s="231"/>
      <c r="J46" s="232"/>
    </row>
    <row r="47" spans="1:10" ht="12.75" customHeight="1">
      <c r="A47" s="230"/>
      <c r="B47" s="231"/>
      <c r="C47" s="231"/>
      <c r="D47" s="231"/>
      <c r="E47" s="231"/>
      <c r="F47" s="231"/>
      <c r="G47" s="231"/>
      <c r="H47" s="231"/>
      <c r="I47" s="231"/>
      <c r="J47" s="232"/>
    </row>
    <row r="48" spans="1:10" ht="12.75" customHeight="1">
      <c r="A48" s="230"/>
      <c r="B48" s="231"/>
      <c r="C48" s="231"/>
      <c r="D48" s="231"/>
      <c r="E48" s="231"/>
      <c r="F48" s="231"/>
      <c r="G48" s="231"/>
      <c r="H48" s="231"/>
      <c r="I48" s="231"/>
      <c r="J48" s="232"/>
    </row>
    <row r="49" spans="1:10" ht="12.75" customHeight="1">
      <c r="A49" s="230"/>
      <c r="B49" s="231"/>
      <c r="C49" s="231"/>
      <c r="D49" s="231"/>
      <c r="E49" s="231"/>
      <c r="F49" s="231"/>
      <c r="G49" s="231"/>
      <c r="H49" s="231"/>
      <c r="I49" s="231"/>
      <c r="J49" s="232"/>
    </row>
    <row r="50" spans="1:10" ht="12.75" customHeight="1">
      <c r="A50" s="230"/>
      <c r="B50" s="231"/>
      <c r="C50" s="231"/>
      <c r="D50" s="231"/>
      <c r="E50" s="231"/>
      <c r="F50" s="231"/>
      <c r="G50" s="231"/>
      <c r="H50" s="231"/>
      <c r="I50" s="231"/>
      <c r="J50" s="232"/>
    </row>
    <row r="51" spans="1:10" ht="12.75" customHeight="1">
      <c r="A51" s="230"/>
      <c r="B51" s="231"/>
      <c r="C51" s="231"/>
      <c r="D51" s="231"/>
      <c r="E51" s="231"/>
      <c r="F51" s="231"/>
      <c r="G51" s="231"/>
      <c r="H51" s="231"/>
      <c r="I51" s="231"/>
      <c r="J51" s="232"/>
    </row>
    <row r="52" spans="1:10" ht="12.75" customHeight="1">
      <c r="A52" s="230"/>
      <c r="B52" s="231"/>
      <c r="C52" s="231"/>
      <c r="D52" s="231"/>
      <c r="E52" s="231"/>
      <c r="F52" s="231"/>
      <c r="G52" s="231"/>
      <c r="H52" s="231"/>
      <c r="I52" s="231"/>
      <c r="J52" s="232"/>
    </row>
    <row r="53" spans="1:10" ht="12.75" customHeight="1">
      <c r="A53" s="230"/>
      <c r="B53" s="231"/>
      <c r="C53" s="231"/>
      <c r="D53" s="231"/>
      <c r="E53" s="231"/>
      <c r="F53" s="231"/>
      <c r="G53" s="231"/>
      <c r="H53" s="231"/>
      <c r="I53" s="231"/>
      <c r="J53" s="232"/>
    </row>
    <row r="54" spans="1:10" ht="12.75" customHeight="1">
      <c r="A54" s="230"/>
      <c r="B54" s="231"/>
      <c r="C54" s="231"/>
      <c r="D54" s="231"/>
      <c r="E54" s="231"/>
      <c r="F54" s="231"/>
      <c r="G54" s="231"/>
      <c r="H54" s="231"/>
      <c r="I54" s="231"/>
      <c r="J54" s="232"/>
    </row>
    <row r="55" spans="1:10" ht="12.75" customHeight="1">
      <c r="A55" s="230"/>
      <c r="B55" s="231"/>
      <c r="C55" s="231"/>
      <c r="D55" s="231"/>
      <c r="E55" s="231"/>
      <c r="F55" s="231"/>
      <c r="G55" s="231"/>
      <c r="H55" s="231"/>
      <c r="I55" s="231"/>
      <c r="J55" s="232"/>
    </row>
    <row r="56" spans="1:10" ht="12.75" customHeight="1">
      <c r="A56" s="233"/>
      <c r="B56" s="234"/>
      <c r="C56" s="234"/>
      <c r="D56" s="234"/>
      <c r="E56" s="234"/>
      <c r="F56" s="234"/>
      <c r="G56" s="234"/>
      <c r="H56" s="234"/>
      <c r="I56" s="234"/>
      <c r="J56" s="235"/>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dataValidations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C87F4385-A34F-4573-9045-0BC5C1CBBC74}"/>
  </dataValidations>
  <printOptions horizontalCentered="1"/>
  <pageMargins left="0.7" right="0.7" top="0.5" bottom="0.5" header="0" footer="0"/>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8"/>
  <sheetViews>
    <sheetView showGridLines="0" topLeftCell="A71" workbookViewId="0">
      <selection activeCell="P117" sqref="P117"/>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10" t="s">
        <v>65</v>
      </c>
      <c r="B1" s="167"/>
      <c r="C1" s="167"/>
      <c r="D1" s="167"/>
      <c r="E1" s="167"/>
      <c r="F1" s="167"/>
      <c r="G1" s="189"/>
      <c r="H1" s="211" t="str">
        <f>'CONTACT INFORMATION'!$A$24</f>
        <v>Yolo</v>
      </c>
      <c r="I1" s="167"/>
      <c r="J1" s="168"/>
    </row>
    <row r="2" spans="1:10" ht="9" customHeight="1"/>
    <row r="3" spans="1:10" ht="12" customHeight="1">
      <c r="A3" s="242" t="s">
        <v>66</v>
      </c>
      <c r="B3" s="150"/>
      <c r="C3" s="150"/>
      <c r="D3" s="150"/>
      <c r="E3" s="150"/>
      <c r="F3" s="150"/>
      <c r="G3" s="150"/>
      <c r="H3" s="150"/>
      <c r="I3" s="150"/>
      <c r="J3" s="150"/>
    </row>
    <row r="4" spans="1:10" ht="13.5" customHeight="1">
      <c r="A4" s="150"/>
      <c r="B4" s="150"/>
      <c r="C4" s="150"/>
      <c r="D4" s="150"/>
      <c r="E4" s="150"/>
      <c r="F4" s="150"/>
      <c r="G4" s="150"/>
      <c r="H4" s="150"/>
      <c r="I4" s="150"/>
      <c r="J4" s="150"/>
    </row>
    <row r="5" spans="1:10" ht="13.5" customHeight="1">
      <c r="A5" s="150"/>
      <c r="B5" s="150"/>
      <c r="C5" s="150"/>
      <c r="D5" s="150"/>
      <c r="E5" s="150"/>
      <c r="F5" s="150"/>
      <c r="G5" s="150"/>
      <c r="H5" s="150"/>
      <c r="I5" s="150"/>
      <c r="J5" s="150"/>
    </row>
    <row r="6" spans="1:10" ht="13.5" customHeight="1">
      <c r="A6" s="150"/>
      <c r="B6" s="150"/>
      <c r="C6" s="150"/>
      <c r="D6" s="150"/>
      <c r="E6" s="150"/>
      <c r="F6" s="150"/>
      <c r="G6" s="150"/>
      <c r="H6" s="150"/>
      <c r="I6" s="150"/>
      <c r="J6" s="150"/>
    </row>
    <row r="7" spans="1:10" ht="9" customHeight="1">
      <c r="A7" s="150"/>
      <c r="B7" s="150"/>
      <c r="C7" s="150"/>
      <c r="D7" s="150"/>
      <c r="E7" s="150"/>
      <c r="F7" s="150"/>
      <c r="G7" s="150"/>
      <c r="H7" s="150"/>
      <c r="I7" s="150"/>
      <c r="J7" s="150"/>
    </row>
    <row r="8" spans="1:10" ht="10.5" customHeight="1"/>
    <row r="9" spans="1:10" ht="13.5" customHeight="1">
      <c r="A9" s="153" t="s">
        <v>67</v>
      </c>
      <c r="B9" s="150"/>
      <c r="C9" s="150"/>
      <c r="D9" s="150"/>
      <c r="E9" s="150"/>
      <c r="F9" s="150"/>
      <c r="G9" s="150"/>
      <c r="H9" s="150"/>
      <c r="I9" s="150"/>
      <c r="J9" s="150"/>
    </row>
    <row r="10" spans="1:10" ht="13.5" customHeight="1">
      <c r="A10" s="150"/>
      <c r="B10" s="150"/>
      <c r="C10" s="150"/>
      <c r="D10" s="150"/>
      <c r="E10" s="150"/>
      <c r="F10" s="150"/>
      <c r="G10" s="150"/>
      <c r="H10" s="150"/>
      <c r="I10" s="150"/>
      <c r="J10" s="150"/>
    </row>
    <row r="11" spans="1:10" ht="13.5" customHeight="1">
      <c r="A11" s="150"/>
      <c r="B11" s="150"/>
      <c r="C11" s="150"/>
      <c r="D11" s="150"/>
      <c r="E11" s="150"/>
      <c r="F11" s="150"/>
      <c r="G11" s="150"/>
      <c r="H11" s="150"/>
      <c r="I11" s="150"/>
      <c r="J11" s="150"/>
    </row>
    <row r="12" spans="1:10" ht="12.75" customHeight="1">
      <c r="A12" s="32"/>
      <c r="B12" s="32"/>
      <c r="C12" s="32"/>
      <c r="D12" s="32"/>
      <c r="E12" s="32"/>
      <c r="F12" s="32"/>
      <c r="G12" s="32"/>
      <c r="H12" s="32"/>
      <c r="I12" s="32"/>
      <c r="J12" s="32"/>
    </row>
    <row r="13" spans="1:10" ht="12.75" customHeight="1">
      <c r="A13" s="243" t="s">
        <v>68</v>
      </c>
      <c r="B13" s="150"/>
      <c r="C13" s="150"/>
      <c r="D13" s="150"/>
      <c r="E13" s="150"/>
      <c r="F13" s="150"/>
      <c r="G13" s="150"/>
      <c r="H13" s="150"/>
      <c r="I13" s="150"/>
      <c r="J13" s="150"/>
    </row>
    <row r="14" spans="1:10" ht="18" customHeight="1">
      <c r="A14" s="104"/>
      <c r="B14" s="105" t="s">
        <v>69</v>
      </c>
      <c r="C14" s="240" t="s">
        <v>70</v>
      </c>
      <c r="D14" s="241"/>
      <c r="E14" s="241"/>
      <c r="F14" s="106"/>
      <c r="G14" s="105" t="s">
        <v>69</v>
      </c>
      <c r="H14" s="240" t="s">
        <v>70</v>
      </c>
      <c r="I14" s="241"/>
      <c r="J14" s="241"/>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40" t="s">
        <v>70</v>
      </c>
      <c r="D20" s="241"/>
      <c r="E20" s="241"/>
      <c r="F20" s="106"/>
      <c r="G20" s="105" t="s">
        <v>69</v>
      </c>
      <c r="H20" s="240" t="s">
        <v>70</v>
      </c>
      <c r="I20" s="241"/>
      <c r="J20" s="241"/>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40" t="s">
        <v>70</v>
      </c>
      <c r="D41" s="241"/>
      <c r="E41" s="241"/>
      <c r="F41" s="106"/>
      <c r="G41" s="105" t="s">
        <v>69</v>
      </c>
      <c r="H41" s="240" t="s">
        <v>70</v>
      </c>
      <c r="I41" s="241"/>
      <c r="J41" s="241"/>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53" t="s">
        <v>129</v>
      </c>
      <c r="B47" s="150"/>
      <c r="C47" s="150"/>
      <c r="D47" s="150"/>
      <c r="E47" s="150"/>
      <c r="F47" s="150"/>
      <c r="G47" s="150"/>
      <c r="H47" s="150"/>
      <c r="I47" s="150"/>
      <c r="J47" s="150"/>
    </row>
    <row r="48" spans="1:10" ht="12.75" customHeight="1">
      <c r="A48" s="150"/>
      <c r="B48" s="150"/>
      <c r="C48" s="150"/>
      <c r="D48" s="150"/>
      <c r="E48" s="150"/>
      <c r="F48" s="150"/>
      <c r="G48" s="150"/>
      <c r="H48" s="150"/>
      <c r="I48" s="150"/>
      <c r="J48" s="150"/>
    </row>
    <row r="49" spans="1:11" ht="12.75" customHeight="1">
      <c r="A49" s="150"/>
      <c r="B49" s="150"/>
      <c r="C49" s="150"/>
      <c r="D49" s="150"/>
      <c r="E49" s="150"/>
      <c r="F49" s="150"/>
      <c r="G49" s="150"/>
      <c r="H49" s="150"/>
      <c r="I49" s="150"/>
      <c r="J49" s="150"/>
    </row>
    <row r="50" spans="1:11" ht="12.75" customHeight="1">
      <c r="A50" s="150"/>
      <c r="B50" s="150"/>
      <c r="C50" s="150"/>
      <c r="D50" s="150"/>
      <c r="E50" s="150"/>
      <c r="F50" s="150"/>
      <c r="G50" s="150"/>
      <c r="H50" s="150"/>
      <c r="I50" s="150"/>
      <c r="J50" s="150"/>
    </row>
    <row r="51" spans="1:11" ht="12.75" customHeight="1">
      <c r="A51" s="150"/>
      <c r="B51" s="150"/>
      <c r="C51" s="150"/>
      <c r="D51" s="150"/>
      <c r="E51" s="150"/>
      <c r="F51" s="150"/>
      <c r="G51" s="150"/>
      <c r="H51" s="150"/>
      <c r="I51" s="150"/>
      <c r="J51" s="150"/>
    </row>
    <row r="52" spans="1:11" ht="12.75" hidden="1" customHeight="1">
      <c r="A52" s="150"/>
      <c r="B52" s="150"/>
      <c r="C52" s="150"/>
      <c r="D52" s="150"/>
      <c r="E52" s="150"/>
      <c r="F52" s="150"/>
      <c r="G52" s="150"/>
      <c r="H52" s="150"/>
      <c r="I52" s="150"/>
      <c r="J52" s="150"/>
    </row>
    <row r="53" spans="1:11" ht="12.75" hidden="1" customHeight="1">
      <c r="A53" s="150"/>
      <c r="B53" s="150"/>
      <c r="C53" s="150"/>
      <c r="D53" s="150"/>
      <c r="E53" s="150"/>
      <c r="F53" s="150"/>
      <c r="G53" s="150"/>
      <c r="H53" s="150"/>
      <c r="I53" s="150"/>
      <c r="J53" s="150"/>
    </row>
    <row r="54" spans="1:11" ht="12.75" hidden="1" customHeight="1">
      <c r="A54" s="150"/>
      <c r="B54" s="150"/>
      <c r="C54" s="150"/>
      <c r="D54" s="150"/>
      <c r="E54" s="150"/>
      <c r="F54" s="150"/>
      <c r="G54" s="150"/>
      <c r="H54" s="150"/>
      <c r="I54" s="150"/>
      <c r="J54" s="150"/>
    </row>
    <row r="55" spans="1:11" ht="12.75" hidden="1" customHeight="1">
      <c r="A55" s="150"/>
      <c r="B55" s="150"/>
      <c r="C55" s="150"/>
      <c r="D55" s="150"/>
      <c r="E55" s="150"/>
      <c r="F55" s="150"/>
      <c r="G55" s="150"/>
      <c r="H55" s="150"/>
      <c r="I55" s="150"/>
      <c r="J55" s="150"/>
    </row>
    <row r="56" spans="1:11" ht="31.5" customHeight="1">
      <c r="A56" s="150"/>
      <c r="B56" s="150"/>
      <c r="C56" s="150"/>
      <c r="D56" s="150"/>
      <c r="E56" s="150"/>
      <c r="F56" s="150"/>
      <c r="G56" s="150"/>
      <c r="H56" s="150"/>
      <c r="I56" s="150"/>
      <c r="J56" s="150"/>
    </row>
    <row r="57" spans="1:11" ht="12.75" customHeight="1">
      <c r="A57" s="153"/>
      <c r="B57" s="150"/>
      <c r="C57" s="150"/>
      <c r="D57" s="150"/>
      <c r="E57" s="150"/>
      <c r="F57" s="150"/>
      <c r="G57" s="150"/>
      <c r="H57" s="150"/>
      <c r="I57" s="150"/>
      <c r="J57" s="150"/>
      <c r="K57" s="150"/>
    </row>
    <row r="58" spans="1:11" ht="12.75" customHeight="1">
      <c r="A58" s="150"/>
      <c r="B58" s="150"/>
      <c r="C58" s="150"/>
      <c r="D58" s="150"/>
      <c r="E58" s="150"/>
      <c r="F58" s="150"/>
      <c r="G58" s="150"/>
      <c r="H58" s="150"/>
      <c r="I58" s="150"/>
      <c r="J58" s="150"/>
      <c r="K58" s="150"/>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39"/>
      <c r="J64" s="150"/>
    </row>
    <row r="65" spans="1:10" ht="15.75" customHeight="1">
      <c r="A65" s="210" t="s">
        <v>65</v>
      </c>
      <c r="B65" s="167"/>
      <c r="C65" s="167"/>
      <c r="D65" s="167"/>
      <c r="E65" s="167"/>
      <c r="F65" s="167"/>
      <c r="G65" s="189"/>
      <c r="H65" s="211" t="str">
        <f>'CONTACT INFORMATION'!$A$24</f>
        <v>Yolo</v>
      </c>
      <c r="I65" s="167"/>
      <c r="J65" s="168"/>
    </row>
    <row r="66" spans="1:10" ht="12" customHeight="1">
      <c r="A66" s="110"/>
      <c r="B66" s="110"/>
      <c r="C66" s="110"/>
      <c r="D66" s="110"/>
      <c r="E66" s="110"/>
      <c r="F66" s="110"/>
      <c r="G66" s="110"/>
      <c r="H66" s="110"/>
      <c r="I66" s="110"/>
      <c r="J66" s="110"/>
    </row>
    <row r="67" spans="1:10" ht="12.75" customHeight="1">
      <c r="B67" s="236" t="s">
        <v>130</v>
      </c>
      <c r="C67" s="150"/>
      <c r="D67" s="150"/>
      <c r="E67" s="150"/>
      <c r="F67" s="150"/>
      <c r="G67" s="150"/>
      <c r="H67" s="150"/>
      <c r="I67" s="150"/>
      <c r="J67" s="112"/>
    </row>
    <row r="68" spans="1:10" ht="12.75" customHeight="1">
      <c r="A68" s="112"/>
      <c r="B68" s="150"/>
      <c r="C68" s="150"/>
      <c r="D68" s="150"/>
      <c r="E68" s="150"/>
      <c r="F68" s="150"/>
      <c r="G68" s="150"/>
      <c r="H68" s="150"/>
      <c r="I68" s="150"/>
      <c r="J68" s="112"/>
    </row>
    <row r="69" spans="1:10" ht="12.75" customHeight="1">
      <c r="A69" s="112"/>
      <c r="B69" s="150"/>
      <c r="C69" s="150"/>
      <c r="D69" s="150"/>
      <c r="E69" s="150"/>
      <c r="F69" s="150"/>
      <c r="G69" s="150"/>
      <c r="H69" s="150"/>
      <c r="I69" s="150"/>
      <c r="J69" s="112"/>
    </row>
    <row r="70" spans="1:10" ht="12.75" customHeight="1">
      <c r="A70" s="112"/>
      <c r="B70" s="111"/>
      <c r="C70" s="111"/>
      <c r="D70" s="111"/>
      <c r="E70" s="111"/>
      <c r="F70" s="111"/>
      <c r="G70" s="111"/>
      <c r="H70" s="111"/>
      <c r="I70" s="111"/>
      <c r="J70" s="111"/>
    </row>
    <row r="71" spans="1:10" ht="12.75" customHeight="1">
      <c r="A71" s="112"/>
      <c r="B71" s="236" t="s">
        <v>131</v>
      </c>
      <c r="C71" s="150"/>
      <c r="D71" s="150"/>
      <c r="E71" s="150"/>
      <c r="F71" s="150"/>
      <c r="G71" s="150"/>
      <c r="H71" s="150"/>
      <c r="I71" s="150"/>
      <c r="J71" s="112"/>
    </row>
    <row r="72" spans="1:10" ht="12.75" customHeight="1">
      <c r="A72" s="112"/>
      <c r="B72" s="150"/>
      <c r="C72" s="150"/>
      <c r="D72" s="150"/>
      <c r="E72" s="150"/>
      <c r="F72" s="150"/>
      <c r="G72" s="150"/>
      <c r="H72" s="150"/>
      <c r="I72" s="150"/>
      <c r="J72" s="112"/>
    </row>
    <row r="73" spans="1:10" ht="12.75" customHeight="1">
      <c r="A73" s="112"/>
      <c r="B73" s="150"/>
      <c r="C73" s="150"/>
      <c r="D73" s="150"/>
      <c r="E73" s="150"/>
      <c r="F73" s="150"/>
      <c r="G73" s="150"/>
      <c r="H73" s="150"/>
      <c r="I73" s="150"/>
      <c r="J73" s="112"/>
    </row>
    <row r="74" spans="1:10" ht="12.75" customHeight="1">
      <c r="A74" s="112"/>
      <c r="B74" s="150"/>
      <c r="C74" s="150"/>
      <c r="D74" s="150"/>
      <c r="E74" s="150"/>
      <c r="F74" s="150"/>
      <c r="G74" s="150"/>
      <c r="H74" s="150"/>
      <c r="I74" s="150"/>
      <c r="J74" s="112"/>
    </row>
    <row r="75" spans="1:10" ht="12.75" customHeight="1">
      <c r="A75" s="112"/>
      <c r="B75" s="150"/>
      <c r="C75" s="150"/>
      <c r="D75" s="150"/>
      <c r="E75" s="150"/>
      <c r="F75" s="150"/>
      <c r="G75" s="150"/>
      <c r="H75" s="150"/>
      <c r="I75" s="150"/>
      <c r="J75" s="111"/>
    </row>
    <row r="76" spans="1:10" ht="12.75" customHeight="1">
      <c r="A76" s="112"/>
      <c r="B76" s="111"/>
      <c r="C76" s="111"/>
      <c r="D76" s="111"/>
      <c r="E76" s="111"/>
      <c r="F76" s="111"/>
      <c r="G76" s="111"/>
      <c r="H76" s="111"/>
      <c r="I76" s="111"/>
      <c r="J76" s="111"/>
    </row>
    <row r="77" spans="1:10" ht="12.75" customHeight="1">
      <c r="B77" s="236" t="s">
        <v>132</v>
      </c>
      <c r="C77" s="150"/>
      <c r="D77" s="150"/>
      <c r="E77" s="150"/>
      <c r="F77" s="150"/>
      <c r="G77" s="150"/>
      <c r="H77" s="150"/>
      <c r="I77" s="150"/>
      <c r="J77" s="112"/>
    </row>
    <row r="78" spans="1:10" ht="12.75" customHeight="1">
      <c r="B78" s="150"/>
      <c r="C78" s="150"/>
      <c r="D78" s="150"/>
      <c r="E78" s="150"/>
      <c r="F78" s="150"/>
      <c r="G78" s="150"/>
      <c r="H78" s="150"/>
      <c r="I78" s="150"/>
      <c r="J78" s="112"/>
    </row>
    <row r="79" spans="1:10" ht="12.75" customHeight="1">
      <c r="B79" s="150"/>
      <c r="C79" s="150"/>
      <c r="D79" s="150"/>
      <c r="E79" s="150"/>
      <c r="F79" s="150"/>
      <c r="G79" s="150"/>
      <c r="H79" s="150"/>
      <c r="I79" s="150"/>
      <c r="J79" s="111"/>
    </row>
    <row r="80" spans="1:10" ht="12.75" customHeight="1">
      <c r="B80" s="111"/>
      <c r="C80" s="111"/>
      <c r="D80" s="111"/>
      <c r="E80" s="111"/>
      <c r="F80" s="111"/>
      <c r="G80" s="111"/>
      <c r="H80" s="111"/>
      <c r="I80" s="111"/>
      <c r="J80" s="111"/>
    </row>
    <row r="81" spans="1:10" ht="12.75" customHeight="1">
      <c r="B81" s="238" t="s">
        <v>133</v>
      </c>
      <c r="C81" s="150"/>
      <c r="D81" s="150"/>
      <c r="E81" s="150"/>
      <c r="F81" s="150"/>
      <c r="G81" s="150"/>
      <c r="H81" s="150"/>
      <c r="I81" s="150"/>
      <c r="J81" s="112"/>
    </row>
    <row r="82" spans="1:10" ht="12.75" customHeight="1">
      <c r="B82" s="150"/>
      <c r="C82" s="150"/>
      <c r="D82" s="150"/>
      <c r="E82" s="150"/>
      <c r="F82" s="150"/>
      <c r="G82" s="150"/>
      <c r="H82" s="150"/>
      <c r="I82" s="150"/>
      <c r="J82" s="112"/>
    </row>
    <row r="83" spans="1:10" ht="12.75" customHeight="1">
      <c r="B83" s="150"/>
      <c r="C83" s="150"/>
      <c r="D83" s="150"/>
      <c r="E83" s="150"/>
      <c r="F83" s="150"/>
      <c r="G83" s="150"/>
      <c r="H83" s="150"/>
      <c r="I83" s="150"/>
      <c r="J83" s="112"/>
    </row>
    <row r="84" spans="1:10" ht="12.75" customHeight="1">
      <c r="B84" s="150"/>
      <c r="C84" s="150"/>
      <c r="D84" s="150"/>
      <c r="E84" s="150"/>
      <c r="F84" s="150"/>
      <c r="G84" s="150"/>
      <c r="H84" s="150"/>
      <c r="I84" s="150"/>
      <c r="J84" s="111"/>
    </row>
    <row r="85" spans="1:10" ht="12.75" customHeight="1">
      <c r="B85" s="111"/>
      <c r="C85" s="111"/>
      <c r="D85" s="111"/>
      <c r="E85" s="111"/>
      <c r="F85" s="111"/>
      <c r="G85" s="111"/>
      <c r="H85" s="111"/>
      <c r="I85" s="111"/>
      <c r="J85" s="111"/>
    </row>
    <row r="86" spans="1:10" ht="12.75" customHeight="1">
      <c r="B86" s="236" t="s">
        <v>134</v>
      </c>
      <c r="C86" s="150"/>
      <c r="D86" s="150"/>
      <c r="E86" s="150"/>
      <c r="F86" s="150"/>
      <c r="G86" s="150"/>
      <c r="H86" s="150"/>
      <c r="I86" s="150"/>
      <c r="J86" s="110"/>
    </row>
    <row r="87" spans="1:10" ht="12.75" customHeight="1">
      <c r="B87" s="150"/>
      <c r="C87" s="150"/>
      <c r="D87" s="150"/>
      <c r="E87" s="150"/>
      <c r="F87" s="150"/>
      <c r="G87" s="150"/>
      <c r="H87" s="150"/>
      <c r="I87" s="150"/>
      <c r="J87" s="110"/>
    </row>
    <row r="88" spans="1:10" ht="12.75" customHeight="1">
      <c r="B88" s="150"/>
      <c r="C88" s="150"/>
      <c r="D88" s="150"/>
      <c r="E88" s="150"/>
      <c r="F88" s="150"/>
      <c r="G88" s="150"/>
      <c r="H88" s="150"/>
      <c r="I88" s="150"/>
      <c r="J88" s="110"/>
    </row>
    <row r="89" spans="1:10" ht="12.75" customHeight="1">
      <c r="B89" s="32"/>
      <c r="C89" s="32"/>
      <c r="D89" s="32"/>
      <c r="E89" s="32"/>
      <c r="F89" s="32"/>
      <c r="G89" s="32"/>
      <c r="H89" s="32"/>
      <c r="I89" s="32"/>
      <c r="J89" s="32"/>
    </row>
    <row r="90" spans="1:10" ht="12.75" customHeight="1">
      <c r="B90" s="236" t="s">
        <v>135</v>
      </c>
      <c r="C90" s="150"/>
      <c r="D90" s="150"/>
      <c r="E90" s="150"/>
      <c r="F90" s="150"/>
      <c r="G90" s="150"/>
      <c r="H90" s="150"/>
      <c r="I90" s="150"/>
      <c r="J90" s="110"/>
    </row>
    <row r="91" spans="1:10" ht="24.75" customHeight="1">
      <c r="B91" s="150"/>
      <c r="C91" s="150"/>
      <c r="D91" s="150"/>
      <c r="E91" s="150"/>
      <c r="F91" s="150"/>
      <c r="G91" s="150"/>
      <c r="H91" s="150"/>
      <c r="I91" s="150"/>
      <c r="J91" s="110"/>
    </row>
    <row r="92" spans="1:10" ht="9" customHeight="1"/>
    <row r="93" spans="1:10" ht="4.5" customHeight="1"/>
    <row r="94" spans="1:10" ht="12.75" customHeight="1">
      <c r="A94" s="237" t="s">
        <v>136</v>
      </c>
      <c r="B94" s="150"/>
      <c r="C94" s="150"/>
      <c r="D94" s="150"/>
      <c r="E94" s="150"/>
      <c r="F94" s="150"/>
      <c r="G94" s="150"/>
      <c r="H94" s="150"/>
      <c r="I94" s="150"/>
      <c r="J94" s="150"/>
    </row>
    <row r="95" spans="1:10" ht="12.75" customHeight="1">
      <c r="A95" s="150"/>
      <c r="B95" s="150"/>
      <c r="C95" s="150"/>
      <c r="D95" s="150"/>
      <c r="E95" s="150"/>
      <c r="F95" s="150"/>
      <c r="G95" s="150"/>
      <c r="H95" s="150"/>
      <c r="I95" s="150"/>
      <c r="J95" s="150"/>
    </row>
    <row r="96" spans="1:10" ht="12.75" customHeight="1">
      <c r="A96" s="150"/>
      <c r="B96" s="150"/>
      <c r="C96" s="150"/>
      <c r="D96" s="150"/>
      <c r="E96" s="150"/>
      <c r="F96" s="150"/>
      <c r="G96" s="150"/>
      <c r="H96" s="150"/>
      <c r="I96" s="150"/>
      <c r="J96" s="150"/>
    </row>
    <row r="97" spans="1:11" ht="12.75" hidden="1" customHeight="1">
      <c r="A97" s="150"/>
      <c r="B97" s="150"/>
      <c r="C97" s="150"/>
      <c r="D97" s="150"/>
      <c r="E97" s="150"/>
      <c r="F97" s="150"/>
      <c r="G97" s="150"/>
      <c r="H97" s="150"/>
      <c r="I97" s="150"/>
      <c r="J97" s="150"/>
    </row>
    <row r="98" spans="1:11" ht="12.75" hidden="1" customHeight="1">
      <c r="A98" s="150"/>
      <c r="B98" s="150"/>
      <c r="C98" s="150"/>
      <c r="D98" s="150"/>
      <c r="E98" s="150"/>
      <c r="F98" s="150"/>
      <c r="G98" s="150"/>
      <c r="H98" s="150"/>
      <c r="I98" s="150"/>
      <c r="J98" s="150"/>
    </row>
    <row r="99" spans="1:11" ht="12.75" hidden="1" customHeight="1">
      <c r="A99" s="150"/>
      <c r="B99" s="150"/>
      <c r="C99" s="150"/>
      <c r="D99" s="150"/>
      <c r="E99" s="150"/>
      <c r="F99" s="150"/>
      <c r="G99" s="150"/>
      <c r="H99" s="150"/>
      <c r="I99" s="150"/>
      <c r="J99" s="150"/>
    </row>
    <row r="100" spans="1:11" ht="12.75" hidden="1" customHeight="1">
      <c r="A100" s="150"/>
      <c r="B100" s="150"/>
      <c r="C100" s="150"/>
      <c r="D100" s="150"/>
      <c r="E100" s="150"/>
      <c r="F100" s="150"/>
      <c r="G100" s="150"/>
      <c r="H100" s="150"/>
      <c r="I100" s="150"/>
      <c r="J100" s="150"/>
    </row>
    <row r="101" spans="1:11" ht="4.5" customHeight="1">
      <c r="A101" s="150"/>
      <c r="B101" s="150"/>
      <c r="C101" s="150"/>
      <c r="D101" s="150"/>
      <c r="E101" s="150"/>
      <c r="F101" s="150"/>
      <c r="G101" s="150"/>
      <c r="H101" s="150"/>
      <c r="I101" s="150"/>
      <c r="J101" s="150"/>
    </row>
    <row r="102" spans="1:11" ht="7.5" customHeight="1">
      <c r="A102" s="110"/>
      <c r="B102" s="110"/>
      <c r="C102" s="110"/>
      <c r="D102" s="110"/>
      <c r="E102" s="110"/>
      <c r="F102" s="110"/>
      <c r="G102" s="110"/>
      <c r="H102" s="110"/>
      <c r="I102" s="110"/>
      <c r="J102" s="110"/>
    </row>
    <row r="103" spans="1:11" ht="12.75" customHeight="1">
      <c r="A103" s="237" t="s">
        <v>137</v>
      </c>
      <c r="B103" s="150"/>
      <c r="C103" s="150"/>
      <c r="D103" s="150"/>
      <c r="E103" s="150"/>
      <c r="F103" s="150"/>
      <c r="G103" s="150"/>
      <c r="H103" s="150"/>
      <c r="I103" s="150"/>
      <c r="J103" s="150"/>
    </row>
    <row r="104" spans="1:11" ht="12.75" customHeight="1">
      <c r="A104" s="150"/>
      <c r="B104" s="150"/>
      <c r="C104" s="150"/>
      <c r="D104" s="150"/>
      <c r="E104" s="150"/>
      <c r="F104" s="150"/>
      <c r="G104" s="150"/>
      <c r="H104" s="150"/>
      <c r="I104" s="150"/>
      <c r="J104" s="150"/>
    </row>
    <row r="105" spans="1:11" ht="12.75" customHeight="1">
      <c r="A105" s="150"/>
      <c r="B105" s="150"/>
      <c r="C105" s="150"/>
      <c r="D105" s="150"/>
      <c r="E105" s="150"/>
      <c r="F105" s="150"/>
      <c r="G105" s="150"/>
      <c r="H105" s="150"/>
      <c r="I105" s="150"/>
      <c r="J105" s="150"/>
    </row>
    <row r="106" spans="1:11" ht="12.75" customHeight="1">
      <c r="A106" s="110"/>
      <c r="B106" s="110"/>
      <c r="C106" s="110"/>
      <c r="D106" s="110"/>
      <c r="E106" s="110"/>
      <c r="F106" s="110"/>
      <c r="G106" s="110"/>
      <c r="H106" s="110"/>
      <c r="I106" s="110"/>
      <c r="J106" s="110"/>
    </row>
    <row r="107" spans="1:11" ht="20.25" customHeight="1">
      <c r="A107" s="153" t="s">
        <v>138</v>
      </c>
      <c r="B107" s="150"/>
      <c r="C107" s="150"/>
      <c r="D107" s="150"/>
      <c r="E107" s="150"/>
      <c r="F107" s="150"/>
      <c r="G107" s="150"/>
      <c r="H107" s="150"/>
      <c r="I107" s="150"/>
      <c r="J107" s="150"/>
      <c r="K107" s="150"/>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0" ht="12.75" customHeight="1">
      <c r="A113" s="110"/>
      <c r="B113" s="110"/>
      <c r="C113" s="110"/>
      <c r="D113" s="110"/>
      <c r="E113" s="110"/>
      <c r="F113" s="110"/>
      <c r="G113" s="110"/>
      <c r="H113" s="110"/>
      <c r="I113" s="110"/>
      <c r="J113" s="110"/>
    </row>
    <row r="114" spans="1:10" ht="12.75" customHeight="1">
      <c r="A114" s="110"/>
      <c r="B114" s="110"/>
      <c r="C114" s="110"/>
      <c r="D114" s="110"/>
      <c r="E114" s="110"/>
      <c r="F114" s="110"/>
      <c r="G114" s="110"/>
      <c r="H114" s="110"/>
      <c r="I114" s="110"/>
      <c r="J114" s="110"/>
    </row>
    <row r="115" spans="1:10" ht="12.75" customHeight="1">
      <c r="A115" s="110"/>
      <c r="B115" s="110"/>
      <c r="C115" s="110"/>
      <c r="D115" s="110"/>
      <c r="E115" s="110"/>
      <c r="F115" s="110"/>
      <c r="G115" s="110"/>
      <c r="H115" s="110"/>
      <c r="I115" s="110"/>
      <c r="J115" s="110"/>
    </row>
    <row r="116" spans="1:10" ht="12.75" customHeight="1">
      <c r="A116" s="110"/>
      <c r="B116" s="110"/>
      <c r="C116" s="110"/>
      <c r="D116" s="110"/>
      <c r="E116" s="110"/>
      <c r="F116" s="110"/>
      <c r="G116" s="110"/>
      <c r="H116" s="110"/>
      <c r="I116" s="110"/>
      <c r="J116" s="110"/>
    </row>
    <row r="117" spans="1:10" ht="12.75" customHeight="1">
      <c r="A117" s="110"/>
      <c r="B117" s="110"/>
      <c r="C117" s="110"/>
      <c r="D117" s="110"/>
      <c r="E117" s="110"/>
      <c r="F117" s="110"/>
      <c r="G117" s="110"/>
      <c r="H117" s="110"/>
      <c r="I117" s="110"/>
      <c r="J117" s="110"/>
    </row>
    <row r="118" spans="1:10" ht="12.75" customHeight="1">
      <c r="A118" s="110"/>
      <c r="B118" s="110"/>
      <c r="C118" s="110"/>
      <c r="D118" s="110"/>
      <c r="E118" s="110"/>
      <c r="F118" s="110"/>
      <c r="G118" s="110"/>
      <c r="H118" s="110"/>
      <c r="I118" s="110"/>
      <c r="J118" s="110"/>
    </row>
    <row r="119" spans="1:10" ht="12.75" customHeight="1">
      <c r="A119" s="110"/>
      <c r="B119" s="110"/>
      <c r="C119" s="110"/>
      <c r="D119" s="110"/>
      <c r="E119" s="110"/>
      <c r="F119" s="110"/>
      <c r="G119" s="110"/>
      <c r="H119" s="110"/>
      <c r="I119" s="110"/>
      <c r="J119" s="110"/>
    </row>
    <row r="120" spans="1:10" ht="12.75" customHeight="1">
      <c r="A120" s="110"/>
      <c r="B120" s="110"/>
      <c r="C120" s="110"/>
      <c r="D120" s="110"/>
      <c r="E120" s="110"/>
      <c r="F120" s="110"/>
      <c r="G120" s="110"/>
      <c r="H120" s="110"/>
      <c r="I120" s="110"/>
      <c r="J120" s="110"/>
    </row>
    <row r="121" spans="1:10" ht="12.75" customHeight="1">
      <c r="A121" s="110"/>
      <c r="B121" s="110"/>
      <c r="C121" s="110"/>
      <c r="D121" s="110"/>
      <c r="E121" s="110"/>
      <c r="F121" s="110"/>
      <c r="G121" s="110"/>
      <c r="H121" s="110"/>
      <c r="I121" s="110"/>
      <c r="J121" s="110"/>
    </row>
    <row r="122" spans="1:10" ht="12.75" customHeight="1">
      <c r="A122" s="110"/>
      <c r="B122" s="110"/>
      <c r="C122" s="110"/>
      <c r="D122" s="110"/>
      <c r="E122" s="110"/>
      <c r="F122" s="110"/>
      <c r="G122" s="110"/>
      <c r="H122" s="110"/>
      <c r="I122" s="110"/>
      <c r="J122" s="110"/>
    </row>
    <row r="123" spans="1:10" ht="7.5" customHeight="1"/>
    <row r="124" spans="1:10" ht="12.75" customHeight="1"/>
    <row r="125" spans="1:10" ht="12.75" customHeight="1"/>
    <row r="126" spans="1:10" ht="12.75" customHeight="1"/>
    <row r="127" spans="1:10" ht="12.75" customHeight="1"/>
    <row r="128" spans="1:10" ht="27" customHeight="1"/>
  </sheetData>
  <mergeCells count="25">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90:I91"/>
    <mergeCell ref="A94:J101"/>
    <mergeCell ref="A103:J105"/>
    <mergeCell ref="A107:K107"/>
    <mergeCell ref="B67:I69"/>
    <mergeCell ref="B71:I75"/>
    <mergeCell ref="B77:I79"/>
    <mergeCell ref="B81:I84"/>
    <mergeCell ref="B86:I88"/>
  </mergeCells>
  <printOptions horizontalCentered="1"/>
  <pageMargins left="0.5" right="0.5" top="0.75" bottom="0.5" header="0" footer="0"/>
  <pageSetup orientation="portrait" r:id="rId1"/>
  <headerFooter>
    <oddFooter>&amp;L&amp;F</oddFooter>
  </headerFooter>
  <rowBreaks count="1" manualBreakCount="1">
    <brk id="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37"/>
  <sheetViews>
    <sheetView showGridLines="0" workbookViewId="0">
      <selection activeCell="L50" sqref="L50"/>
    </sheetView>
  </sheetViews>
  <sheetFormatPr defaultColWidth="12.5703125" defaultRowHeight="15" customHeight="1"/>
  <cols>
    <col min="1" max="26" width="8.85546875" customWidth="1"/>
  </cols>
  <sheetData>
    <row r="1" spans="1:10" ht="12.75" customHeight="1">
      <c r="A1" s="210" t="s">
        <v>65</v>
      </c>
      <c r="B1" s="167"/>
      <c r="C1" s="167"/>
      <c r="D1" s="167"/>
      <c r="E1" s="167"/>
      <c r="F1" s="167"/>
      <c r="G1" s="189"/>
      <c r="H1" s="211" t="str">
        <f>'CONTACT INFORMATION'!$A$24</f>
        <v>Yolo</v>
      </c>
      <c r="I1" s="167"/>
      <c r="J1" s="168"/>
    </row>
    <row r="2" spans="1:10" ht="12.75" customHeight="1">
      <c r="A2" s="114"/>
      <c r="B2" s="114"/>
      <c r="C2" s="114"/>
      <c r="D2" s="114"/>
      <c r="E2" s="114"/>
      <c r="F2" s="114"/>
      <c r="G2" s="114"/>
      <c r="H2" s="114"/>
      <c r="I2" s="114"/>
      <c r="J2" s="114"/>
    </row>
    <row r="3" spans="1:10" ht="12.75" customHeight="1">
      <c r="A3" s="256" t="s">
        <v>139</v>
      </c>
      <c r="B3" s="167"/>
      <c r="C3" s="167"/>
      <c r="D3" s="167"/>
      <c r="E3" s="167"/>
      <c r="F3" s="167"/>
      <c r="G3" s="167"/>
      <c r="H3" s="167"/>
      <c r="I3" s="167"/>
      <c r="J3" s="168"/>
    </row>
    <row r="4" spans="1:10" ht="12.75" customHeight="1">
      <c r="A4" s="257" t="s">
        <v>140</v>
      </c>
      <c r="B4" s="145"/>
      <c r="C4" s="145"/>
      <c r="D4" s="146"/>
      <c r="E4" s="258"/>
      <c r="F4" s="171"/>
      <c r="G4" s="171"/>
      <c r="H4" s="171"/>
      <c r="I4" s="171"/>
      <c r="J4" s="172"/>
    </row>
    <row r="5" spans="1:10" ht="12.75" customHeight="1">
      <c r="A5" s="259" t="s">
        <v>156</v>
      </c>
      <c r="B5" s="260"/>
      <c r="C5" s="260"/>
      <c r="D5" s="261"/>
      <c r="E5" s="170"/>
      <c r="F5" s="157"/>
      <c r="G5" s="157"/>
      <c r="H5" s="157"/>
      <c r="I5" s="157"/>
      <c r="J5" s="158"/>
    </row>
    <row r="6" spans="1:10" ht="12.75" customHeight="1">
      <c r="A6" s="253" t="s">
        <v>160</v>
      </c>
      <c r="B6" s="167"/>
      <c r="C6" s="167"/>
      <c r="D6" s="168"/>
      <c r="E6" s="193" t="s">
        <v>72</v>
      </c>
      <c r="F6" s="167"/>
      <c r="G6" s="167"/>
      <c r="H6" s="167"/>
      <c r="I6" s="167"/>
      <c r="J6" s="168"/>
    </row>
    <row r="7" spans="1:10" ht="12.75" customHeight="1">
      <c r="A7" s="115"/>
      <c r="B7" s="113"/>
      <c r="C7" s="113"/>
      <c r="D7" s="113"/>
      <c r="E7" s="254" t="s">
        <v>141</v>
      </c>
      <c r="F7" s="157"/>
      <c r="G7" s="254" t="s">
        <v>142</v>
      </c>
      <c r="H7" s="157"/>
      <c r="I7" s="255" t="s">
        <v>143</v>
      </c>
      <c r="J7" s="158"/>
    </row>
    <row r="8" spans="1:10" ht="12.75" customHeight="1">
      <c r="A8" s="197" t="s">
        <v>144</v>
      </c>
      <c r="B8" s="167"/>
      <c r="C8" s="167"/>
      <c r="D8" s="168"/>
      <c r="E8" s="266">
        <v>80989</v>
      </c>
      <c r="F8" s="168"/>
      <c r="G8" s="266">
        <v>33319</v>
      </c>
      <c r="H8" s="168"/>
      <c r="I8" s="267"/>
      <c r="J8" s="168"/>
    </row>
    <row r="9" spans="1:10" ht="12.75" customHeight="1">
      <c r="A9" s="262" t="s">
        <v>145</v>
      </c>
      <c r="B9" s="167"/>
      <c r="C9" s="167"/>
      <c r="D9" s="168"/>
      <c r="E9" s="263">
        <v>0</v>
      </c>
      <c r="F9" s="168"/>
      <c r="G9" s="264">
        <v>33681</v>
      </c>
      <c r="H9" s="168"/>
      <c r="I9" s="265"/>
      <c r="J9" s="168"/>
    </row>
    <row r="10" spans="1:10" ht="12.75" customHeight="1">
      <c r="A10" s="197" t="s">
        <v>146</v>
      </c>
      <c r="B10" s="167"/>
      <c r="C10" s="167"/>
      <c r="D10" s="168"/>
      <c r="E10" s="266">
        <v>29387</v>
      </c>
      <c r="F10" s="168"/>
      <c r="G10" s="266"/>
      <c r="H10" s="168"/>
      <c r="I10" s="267"/>
      <c r="J10" s="168"/>
    </row>
    <row r="11" spans="1:10" ht="12.75" customHeight="1">
      <c r="A11" s="262" t="s">
        <v>147</v>
      </c>
      <c r="B11" s="167"/>
      <c r="C11" s="167"/>
      <c r="D11" s="168"/>
      <c r="E11" s="263">
        <v>34824</v>
      </c>
      <c r="F11" s="168"/>
      <c r="G11" s="264"/>
      <c r="H11" s="168"/>
      <c r="I11" s="265"/>
      <c r="J11" s="168"/>
    </row>
    <row r="12" spans="1:10" ht="12.75" customHeight="1">
      <c r="A12" s="197" t="s">
        <v>148</v>
      </c>
      <c r="B12" s="167"/>
      <c r="C12" s="167"/>
      <c r="D12" s="168"/>
      <c r="E12" s="266"/>
      <c r="F12" s="168"/>
      <c r="G12" s="266"/>
      <c r="H12" s="168"/>
      <c r="I12" s="267"/>
      <c r="J12" s="168"/>
    </row>
    <row r="13" spans="1:10" ht="12.75" customHeight="1">
      <c r="A13" s="262" t="s">
        <v>149</v>
      </c>
      <c r="B13" s="167"/>
      <c r="C13" s="167"/>
      <c r="D13" s="168"/>
      <c r="E13" s="263"/>
      <c r="F13" s="168"/>
      <c r="G13" s="264"/>
      <c r="H13" s="168"/>
      <c r="I13" s="265"/>
      <c r="J13" s="168"/>
    </row>
    <row r="14" spans="1:10" ht="12.75" customHeight="1">
      <c r="A14" s="197" t="s">
        <v>150</v>
      </c>
      <c r="B14" s="167"/>
      <c r="C14" s="167"/>
      <c r="D14" s="168"/>
      <c r="E14" s="270"/>
      <c r="F14" s="168"/>
      <c r="G14" s="270"/>
      <c r="H14" s="168"/>
      <c r="I14" s="269"/>
      <c r="J14" s="168"/>
    </row>
    <row r="15" spans="1:10" ht="12.75" customHeight="1">
      <c r="A15" s="272"/>
      <c r="B15" s="167"/>
      <c r="C15" s="167"/>
      <c r="D15" s="168"/>
      <c r="E15" s="263"/>
      <c r="F15" s="168"/>
      <c r="G15" s="264"/>
      <c r="H15" s="168"/>
      <c r="I15" s="264"/>
      <c r="J15" s="168"/>
    </row>
    <row r="16" spans="1:10" ht="12.75" customHeight="1">
      <c r="A16" s="272"/>
      <c r="B16" s="167"/>
      <c r="C16" s="167"/>
      <c r="D16" s="168"/>
      <c r="E16" s="263"/>
      <c r="F16" s="168"/>
      <c r="G16" s="264"/>
      <c r="H16" s="168"/>
      <c r="I16" s="264"/>
      <c r="J16" s="168"/>
    </row>
    <row r="17" spans="1:10" ht="12.75" customHeight="1">
      <c r="A17" s="272"/>
      <c r="B17" s="167"/>
      <c r="C17" s="167"/>
      <c r="D17" s="168"/>
      <c r="E17" s="263"/>
      <c r="F17" s="168"/>
      <c r="G17" s="264"/>
      <c r="H17" s="168"/>
      <c r="I17" s="264"/>
      <c r="J17" s="168"/>
    </row>
    <row r="18" spans="1:10" ht="12.75" customHeight="1">
      <c r="A18" s="201" t="s">
        <v>151</v>
      </c>
      <c r="B18" s="167"/>
      <c r="C18" s="167"/>
      <c r="D18" s="168"/>
      <c r="E18" s="273">
        <f>SUM(E8:E17)</f>
        <v>145200</v>
      </c>
      <c r="F18" s="168"/>
      <c r="G18" s="273">
        <f>SUM(G8:G17)</f>
        <v>67000</v>
      </c>
      <c r="H18" s="168"/>
      <c r="I18" s="273">
        <f>SUM(I8:I17)</f>
        <v>0</v>
      </c>
      <c r="J18" s="168"/>
    </row>
    <row r="19" spans="1:10" ht="12.75" customHeight="1">
      <c r="A19" s="274" t="s">
        <v>152</v>
      </c>
      <c r="B19" s="145"/>
      <c r="C19" s="145"/>
      <c r="D19" s="145"/>
      <c r="E19" s="145"/>
      <c r="F19" s="145"/>
      <c r="G19" s="145"/>
      <c r="H19" s="145"/>
      <c r="I19" s="145"/>
      <c r="J19" s="146"/>
    </row>
    <row r="20" spans="1:10" ht="12.75" customHeight="1">
      <c r="A20" s="268" t="s">
        <v>153</v>
      </c>
      <c r="B20" s="161"/>
      <c r="C20" s="161"/>
      <c r="D20" s="161"/>
      <c r="E20" s="161"/>
      <c r="F20" s="161"/>
      <c r="G20" s="161"/>
      <c r="H20" s="161"/>
      <c r="I20" s="161"/>
      <c r="J20" s="162"/>
    </row>
    <row r="21" spans="1:10" ht="12.75" customHeight="1">
      <c r="A21" s="268" t="s">
        <v>154</v>
      </c>
      <c r="B21" s="161"/>
      <c r="C21" s="161"/>
      <c r="D21" s="161"/>
      <c r="E21" s="161"/>
      <c r="F21" s="161"/>
      <c r="G21" s="161"/>
      <c r="H21" s="161"/>
      <c r="I21" s="161"/>
      <c r="J21" s="162"/>
    </row>
    <row r="22" spans="1:10" ht="12.75" customHeight="1">
      <c r="A22" s="271" t="s">
        <v>155</v>
      </c>
      <c r="B22" s="260"/>
      <c r="C22" s="260"/>
      <c r="D22" s="260"/>
      <c r="E22" s="260"/>
      <c r="F22" s="260"/>
      <c r="G22" s="260"/>
      <c r="H22" s="260"/>
      <c r="I22" s="260"/>
      <c r="J22" s="261"/>
    </row>
    <row r="23" spans="1:10" ht="12.75" customHeight="1">
      <c r="A23" s="244" t="s">
        <v>925</v>
      </c>
      <c r="B23" s="245"/>
      <c r="C23" s="245"/>
      <c r="D23" s="245"/>
      <c r="E23" s="245"/>
      <c r="F23" s="245"/>
      <c r="G23" s="245"/>
      <c r="H23" s="245"/>
      <c r="I23" s="245"/>
      <c r="J23" s="246"/>
    </row>
    <row r="24" spans="1:10" ht="12.75" customHeight="1">
      <c r="A24" s="247"/>
      <c r="B24" s="248"/>
      <c r="C24" s="248"/>
      <c r="D24" s="248"/>
      <c r="E24" s="248"/>
      <c r="F24" s="248"/>
      <c r="G24" s="248"/>
      <c r="H24" s="248"/>
      <c r="I24" s="248"/>
      <c r="J24" s="249"/>
    </row>
    <row r="25" spans="1:10" ht="12.75" customHeight="1">
      <c r="A25" s="247"/>
      <c r="B25" s="248"/>
      <c r="C25" s="248"/>
      <c r="D25" s="248"/>
      <c r="E25" s="248"/>
      <c r="F25" s="248"/>
      <c r="G25" s="248"/>
      <c r="H25" s="248"/>
      <c r="I25" s="248"/>
      <c r="J25" s="249"/>
    </row>
    <row r="26" spans="1:10" ht="12.75" customHeight="1">
      <c r="A26" s="247"/>
      <c r="B26" s="248"/>
      <c r="C26" s="248"/>
      <c r="D26" s="248"/>
      <c r="E26" s="248"/>
      <c r="F26" s="248"/>
      <c r="G26" s="248"/>
      <c r="H26" s="248"/>
      <c r="I26" s="248"/>
      <c r="J26" s="249"/>
    </row>
    <row r="27" spans="1:10" ht="12.75" customHeight="1">
      <c r="A27" s="247"/>
      <c r="B27" s="248"/>
      <c r="C27" s="248"/>
      <c r="D27" s="248"/>
      <c r="E27" s="248"/>
      <c r="F27" s="248"/>
      <c r="G27" s="248"/>
      <c r="H27" s="248"/>
      <c r="I27" s="248"/>
      <c r="J27" s="249"/>
    </row>
    <row r="28" spans="1:10" ht="12.75" customHeight="1">
      <c r="A28" s="247"/>
      <c r="B28" s="248"/>
      <c r="C28" s="248"/>
      <c r="D28" s="248"/>
      <c r="E28" s="248"/>
      <c r="F28" s="248"/>
      <c r="G28" s="248"/>
      <c r="H28" s="248"/>
      <c r="I28" s="248"/>
      <c r="J28" s="249"/>
    </row>
    <row r="29" spans="1:10" ht="12.75" customHeight="1">
      <c r="A29" s="247"/>
      <c r="B29" s="248"/>
      <c r="C29" s="248"/>
      <c r="D29" s="248"/>
      <c r="E29" s="248"/>
      <c r="F29" s="248"/>
      <c r="G29" s="248"/>
      <c r="H29" s="248"/>
      <c r="I29" s="248"/>
      <c r="J29" s="249"/>
    </row>
    <row r="30" spans="1:10" ht="12.75" customHeight="1">
      <c r="A30" s="247"/>
      <c r="B30" s="248"/>
      <c r="C30" s="248"/>
      <c r="D30" s="248"/>
      <c r="E30" s="248"/>
      <c r="F30" s="248"/>
      <c r="G30" s="248"/>
      <c r="H30" s="248"/>
      <c r="I30" s="248"/>
      <c r="J30" s="249"/>
    </row>
    <row r="31" spans="1:10" ht="12.75" customHeight="1">
      <c r="A31" s="247"/>
      <c r="B31" s="248"/>
      <c r="C31" s="248"/>
      <c r="D31" s="248"/>
      <c r="E31" s="248"/>
      <c r="F31" s="248"/>
      <c r="G31" s="248"/>
      <c r="H31" s="248"/>
      <c r="I31" s="248"/>
      <c r="J31" s="249"/>
    </row>
    <row r="32" spans="1:10" ht="12.75" customHeight="1">
      <c r="A32" s="247"/>
      <c r="B32" s="248"/>
      <c r="C32" s="248"/>
      <c r="D32" s="248"/>
      <c r="E32" s="248"/>
      <c r="F32" s="248"/>
      <c r="G32" s="248"/>
      <c r="H32" s="248"/>
      <c r="I32" s="248"/>
      <c r="J32" s="249"/>
    </row>
    <row r="33" spans="1:10" ht="12.75" customHeight="1">
      <c r="A33" s="247"/>
      <c r="B33" s="248"/>
      <c r="C33" s="248"/>
      <c r="D33" s="248"/>
      <c r="E33" s="248"/>
      <c r="F33" s="248"/>
      <c r="G33" s="248"/>
      <c r="H33" s="248"/>
      <c r="I33" s="248"/>
      <c r="J33" s="249"/>
    </row>
    <row r="34" spans="1:10" ht="12.75" customHeight="1">
      <c r="A34" s="247"/>
      <c r="B34" s="248"/>
      <c r="C34" s="248"/>
      <c r="D34" s="248"/>
      <c r="E34" s="248"/>
      <c r="F34" s="248"/>
      <c r="G34" s="248"/>
      <c r="H34" s="248"/>
      <c r="I34" s="248"/>
      <c r="J34" s="249"/>
    </row>
    <row r="35" spans="1:10" ht="12.75" customHeight="1">
      <c r="A35" s="247"/>
      <c r="B35" s="248"/>
      <c r="C35" s="248"/>
      <c r="D35" s="248"/>
      <c r="E35" s="248"/>
      <c r="F35" s="248"/>
      <c r="G35" s="248"/>
      <c r="H35" s="248"/>
      <c r="I35" s="248"/>
      <c r="J35" s="249"/>
    </row>
    <row r="36" spans="1:10" ht="12.75" customHeight="1">
      <c r="A36" s="247"/>
      <c r="B36" s="248"/>
      <c r="C36" s="248"/>
      <c r="D36" s="248"/>
      <c r="E36" s="248"/>
      <c r="F36" s="248"/>
      <c r="G36" s="248"/>
      <c r="H36" s="248"/>
      <c r="I36" s="248"/>
      <c r="J36" s="249"/>
    </row>
    <row r="37" spans="1:10" ht="12.75" customHeight="1">
      <c r="A37" s="247"/>
      <c r="B37" s="248"/>
      <c r="C37" s="248"/>
      <c r="D37" s="248"/>
      <c r="E37" s="248"/>
      <c r="F37" s="248"/>
      <c r="G37" s="248"/>
      <c r="H37" s="248"/>
      <c r="I37" s="248"/>
      <c r="J37" s="249"/>
    </row>
    <row r="38" spans="1:10" ht="12.75" customHeight="1">
      <c r="A38" s="247"/>
      <c r="B38" s="248"/>
      <c r="C38" s="248"/>
      <c r="D38" s="248"/>
      <c r="E38" s="248"/>
      <c r="F38" s="248"/>
      <c r="G38" s="248"/>
      <c r="H38" s="248"/>
      <c r="I38" s="248"/>
      <c r="J38" s="249"/>
    </row>
    <row r="39" spans="1:10" ht="12.75" customHeight="1">
      <c r="A39" s="247"/>
      <c r="B39" s="248"/>
      <c r="C39" s="248"/>
      <c r="D39" s="248"/>
      <c r="E39" s="248"/>
      <c r="F39" s="248"/>
      <c r="G39" s="248"/>
      <c r="H39" s="248"/>
      <c r="I39" s="248"/>
      <c r="J39" s="249"/>
    </row>
    <row r="40" spans="1:10" ht="12.75" customHeight="1">
      <c r="A40" s="247"/>
      <c r="B40" s="248"/>
      <c r="C40" s="248"/>
      <c r="D40" s="248"/>
      <c r="E40" s="248"/>
      <c r="F40" s="248"/>
      <c r="G40" s="248"/>
      <c r="H40" s="248"/>
      <c r="I40" s="248"/>
      <c r="J40" s="249"/>
    </row>
    <row r="41" spans="1:10" ht="12.75" customHeight="1">
      <c r="A41" s="247"/>
      <c r="B41" s="248"/>
      <c r="C41" s="248"/>
      <c r="D41" s="248"/>
      <c r="E41" s="248"/>
      <c r="F41" s="248"/>
      <c r="G41" s="248"/>
      <c r="H41" s="248"/>
      <c r="I41" s="248"/>
      <c r="J41" s="249"/>
    </row>
    <row r="42" spans="1:10" ht="12.75" customHeight="1">
      <c r="A42" s="247"/>
      <c r="B42" s="248"/>
      <c r="C42" s="248"/>
      <c r="D42" s="248"/>
      <c r="E42" s="248"/>
      <c r="F42" s="248"/>
      <c r="G42" s="248"/>
      <c r="H42" s="248"/>
      <c r="I42" s="248"/>
      <c r="J42" s="249"/>
    </row>
    <row r="43" spans="1:10" ht="12.75" customHeight="1">
      <c r="A43" s="247"/>
      <c r="B43" s="248"/>
      <c r="C43" s="248"/>
      <c r="D43" s="248"/>
      <c r="E43" s="248"/>
      <c r="F43" s="248"/>
      <c r="G43" s="248"/>
      <c r="H43" s="248"/>
      <c r="I43" s="248"/>
      <c r="J43" s="249"/>
    </row>
    <row r="44" spans="1:10" ht="12.75" customHeight="1">
      <c r="A44" s="247"/>
      <c r="B44" s="248"/>
      <c r="C44" s="248"/>
      <c r="D44" s="248"/>
      <c r="E44" s="248"/>
      <c r="F44" s="248"/>
      <c r="G44" s="248"/>
      <c r="H44" s="248"/>
      <c r="I44" s="248"/>
      <c r="J44" s="249"/>
    </row>
    <row r="45" spans="1:10" ht="12.75" customHeight="1">
      <c r="A45" s="247"/>
      <c r="B45" s="248"/>
      <c r="C45" s="248"/>
      <c r="D45" s="248"/>
      <c r="E45" s="248"/>
      <c r="F45" s="248"/>
      <c r="G45" s="248"/>
      <c r="H45" s="248"/>
      <c r="I45" s="248"/>
      <c r="J45" s="249"/>
    </row>
    <row r="46" spans="1:10" ht="12.75" customHeight="1">
      <c r="A46" s="247"/>
      <c r="B46" s="248"/>
      <c r="C46" s="248"/>
      <c r="D46" s="248"/>
      <c r="E46" s="248"/>
      <c r="F46" s="248"/>
      <c r="G46" s="248"/>
      <c r="H46" s="248"/>
      <c r="I46" s="248"/>
      <c r="J46" s="249"/>
    </row>
    <row r="47" spans="1:10" ht="12.75" customHeight="1">
      <c r="A47" s="247"/>
      <c r="B47" s="248"/>
      <c r="C47" s="248"/>
      <c r="D47" s="248"/>
      <c r="E47" s="248"/>
      <c r="F47" s="248"/>
      <c r="G47" s="248"/>
      <c r="H47" s="248"/>
      <c r="I47" s="248"/>
      <c r="J47" s="249"/>
    </row>
    <row r="48" spans="1:10" ht="12.75" customHeight="1">
      <c r="A48" s="247"/>
      <c r="B48" s="248"/>
      <c r="C48" s="248"/>
      <c r="D48" s="248"/>
      <c r="E48" s="248"/>
      <c r="F48" s="248"/>
      <c r="G48" s="248"/>
      <c r="H48" s="248"/>
      <c r="I48" s="248"/>
      <c r="J48" s="249"/>
    </row>
    <row r="49" spans="1:10" ht="12.75" customHeight="1">
      <c r="A49" s="247"/>
      <c r="B49" s="248"/>
      <c r="C49" s="248"/>
      <c r="D49" s="248"/>
      <c r="E49" s="248"/>
      <c r="F49" s="248"/>
      <c r="G49" s="248"/>
      <c r="H49" s="248"/>
      <c r="I49" s="248"/>
      <c r="J49" s="249"/>
    </row>
    <row r="50" spans="1:10" ht="12.75" customHeight="1">
      <c r="A50" s="247"/>
      <c r="B50" s="248"/>
      <c r="C50" s="248"/>
      <c r="D50" s="248"/>
      <c r="E50" s="248"/>
      <c r="F50" s="248"/>
      <c r="G50" s="248"/>
      <c r="H50" s="248"/>
      <c r="I50" s="248"/>
      <c r="J50" s="249"/>
    </row>
    <row r="51" spans="1:10" ht="12.75" customHeight="1">
      <c r="A51" s="247"/>
      <c r="B51" s="248"/>
      <c r="C51" s="248"/>
      <c r="D51" s="248"/>
      <c r="E51" s="248"/>
      <c r="F51" s="248"/>
      <c r="G51" s="248"/>
      <c r="H51" s="248"/>
      <c r="I51" s="248"/>
      <c r="J51" s="249"/>
    </row>
    <row r="52" spans="1:10" ht="12.75" customHeight="1">
      <c r="A52" s="247"/>
      <c r="B52" s="248"/>
      <c r="C52" s="248"/>
      <c r="D52" s="248"/>
      <c r="E52" s="248"/>
      <c r="F52" s="248"/>
      <c r="G52" s="248"/>
      <c r="H52" s="248"/>
      <c r="I52" s="248"/>
      <c r="J52" s="249"/>
    </row>
    <row r="53" spans="1:10" ht="12.75" customHeight="1">
      <c r="A53" s="247"/>
      <c r="B53" s="248"/>
      <c r="C53" s="248"/>
      <c r="D53" s="248"/>
      <c r="E53" s="248"/>
      <c r="F53" s="248"/>
      <c r="G53" s="248"/>
      <c r="H53" s="248"/>
      <c r="I53" s="248"/>
      <c r="J53" s="249"/>
    </row>
    <row r="54" spans="1:10" ht="12.75" customHeight="1">
      <c r="A54" s="247"/>
      <c r="B54" s="248"/>
      <c r="C54" s="248"/>
      <c r="D54" s="248"/>
      <c r="E54" s="248"/>
      <c r="F54" s="248"/>
      <c r="G54" s="248"/>
      <c r="H54" s="248"/>
      <c r="I54" s="248"/>
      <c r="J54" s="249"/>
    </row>
    <row r="55" spans="1:10" ht="12.75" customHeight="1">
      <c r="A55" s="250"/>
      <c r="B55" s="251"/>
      <c r="C55" s="251"/>
      <c r="D55" s="251"/>
      <c r="E55" s="251"/>
      <c r="F55" s="251"/>
      <c r="G55" s="251"/>
      <c r="H55" s="251"/>
      <c r="I55" s="251"/>
      <c r="J55" s="252"/>
    </row>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sheetData>
  <mergeCells count="60">
    <mergeCell ref="A16:D16"/>
    <mergeCell ref="A19:J19"/>
    <mergeCell ref="A15:D15"/>
    <mergeCell ref="E15:F15"/>
    <mergeCell ref="G15:H15"/>
    <mergeCell ref="I15:J15"/>
    <mergeCell ref="E12:F12"/>
    <mergeCell ref="G12:H12"/>
    <mergeCell ref="A22:J22"/>
    <mergeCell ref="A17:D17"/>
    <mergeCell ref="E17:F17"/>
    <mergeCell ref="G17:H17"/>
    <mergeCell ref="I17:J17"/>
    <mergeCell ref="A18:D18"/>
    <mergeCell ref="E18:F18"/>
    <mergeCell ref="G18:H18"/>
    <mergeCell ref="I18:J18"/>
    <mergeCell ref="A10:D10"/>
    <mergeCell ref="E10:F10"/>
    <mergeCell ref="A11:D11"/>
    <mergeCell ref="E11:F11"/>
    <mergeCell ref="G11:H11"/>
    <mergeCell ref="I11:J11"/>
    <mergeCell ref="A20:J20"/>
    <mergeCell ref="A21:J21"/>
    <mergeCell ref="E16:F16"/>
    <mergeCell ref="I16:J16"/>
    <mergeCell ref="G16:H16"/>
    <mergeCell ref="I12:J12"/>
    <mergeCell ref="I14:J14"/>
    <mergeCell ref="G14:H14"/>
    <mergeCell ref="A12:D12"/>
    <mergeCell ref="A13:D13"/>
    <mergeCell ref="E13:F13"/>
    <mergeCell ref="G13:H13"/>
    <mergeCell ref="I13:J13"/>
    <mergeCell ref="A14:D14"/>
    <mergeCell ref="E14:F14"/>
    <mergeCell ref="A1:G1"/>
    <mergeCell ref="H1:J1"/>
    <mergeCell ref="A3:J3"/>
    <mergeCell ref="A4:D4"/>
    <mergeCell ref="E4:J5"/>
    <mergeCell ref="A5:D5"/>
    <mergeCell ref="A23:J55"/>
    <mergeCell ref="A6:D6"/>
    <mergeCell ref="E6:J6"/>
    <mergeCell ref="E7:F7"/>
    <mergeCell ref="G7:H7"/>
    <mergeCell ref="I7:J7"/>
    <mergeCell ref="A8:D8"/>
    <mergeCell ref="A9:D9"/>
    <mergeCell ref="E9:F9"/>
    <mergeCell ref="G9:H9"/>
    <mergeCell ref="I9:J9"/>
    <mergeCell ref="E8:F8"/>
    <mergeCell ref="G8:H8"/>
    <mergeCell ref="I8:J8"/>
    <mergeCell ref="G10:H10"/>
    <mergeCell ref="I10:J10"/>
  </mergeCells>
  <dataValidations count="4">
    <dataValidation type="decimal" allowBlank="1" showInputMessage="1" showErrorMessage="1" prompt="Leave blank or enter amount in whole dollars." sqref="G15:G17 I15:I17" xr:uid="{00000000-0002-0000-0600-000001000000}">
      <formula1>0</formula1>
      <formula2>50000000</formula2>
    </dataValidation>
    <dataValidation type="custom" allowBlank="1" showInputMessage="1" showErrorMessage="1" prompt="Leave Blank or Describe Other Expenditure. " sqref="A15:A17" xr:uid="{00000000-0002-0000-0600-000002000000}">
      <formula1>AND(GTE(LEN(A15),MIN((1),(35))),LTE(LEN(A15),MAX((1),(35))))</formula1>
    </dataValidation>
    <dataValidation type="list" allowBlank="1" showInputMessage="1" showErrorMessage="1" prompt="Please select from the drop down list." sqref="E6" xr:uid="{00000000-0002-0000-0600-000003000000}">
      <formula1>Expenditures</formula1>
    </dataValidation>
    <dataValidation type="decimal" allowBlank="1" showInputMessage="1" showErrorMessage="1" prompt="Must enter amount in whole dollars." sqref="E8:E13 G8:G13 I8:I13 E15:E17" xr:uid="{00000000-0002-0000-0600-000004000000}">
      <formula1>0</formula1>
      <formula2>50000000</formula2>
    </dataValidation>
  </dataValidations>
  <pageMargins left="0.7" right="0.7" top="0.75" bottom="0.75" header="0" footer="0"/>
  <pageSetup orientation="portrait" r:id="rId1"/>
  <headerFooter>
    <oddFooter>&amp;L&amp;F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9C4E-59BC-4801-8057-8B44195EA4F8}">
  <dimension ref="A1:J64"/>
  <sheetViews>
    <sheetView topLeftCell="A8" workbookViewId="0">
      <selection activeCell="A23" sqref="A23:J54"/>
    </sheetView>
  </sheetViews>
  <sheetFormatPr defaultColWidth="12.5703125" defaultRowHeight="15" customHeight="1"/>
  <cols>
    <col min="1" max="26" width="8.85546875" customWidth="1"/>
  </cols>
  <sheetData>
    <row r="1" spans="1:10" ht="12.75" customHeight="1">
      <c r="A1" s="210" t="s">
        <v>65</v>
      </c>
      <c r="B1" s="167"/>
      <c r="C1" s="167"/>
      <c r="D1" s="167"/>
      <c r="E1" s="167"/>
      <c r="F1" s="167"/>
      <c r="G1" s="189"/>
      <c r="H1" s="211" t="str">
        <f>'CONTACT INFORMATION'!$A$24</f>
        <v>Yolo</v>
      </c>
      <c r="I1" s="167"/>
      <c r="J1" s="168"/>
    </row>
    <row r="2" spans="1:10" ht="12.75" customHeight="1">
      <c r="A2" s="114"/>
      <c r="B2" s="114"/>
      <c r="C2" s="114"/>
      <c r="D2" s="114"/>
      <c r="E2" s="114"/>
      <c r="F2" s="114"/>
      <c r="G2" s="114"/>
      <c r="H2" s="114"/>
      <c r="I2" s="114"/>
      <c r="J2" s="114"/>
    </row>
    <row r="3" spans="1:10" ht="12.75" customHeight="1">
      <c r="A3" s="256" t="s">
        <v>158</v>
      </c>
      <c r="B3" s="167"/>
      <c r="C3" s="167"/>
      <c r="D3" s="167"/>
      <c r="E3" s="167"/>
      <c r="F3" s="167"/>
      <c r="G3" s="167"/>
      <c r="H3" s="167"/>
      <c r="I3" s="167"/>
      <c r="J3" s="168"/>
    </row>
    <row r="4" spans="1:10" ht="12.75" customHeight="1">
      <c r="A4" s="257" t="s">
        <v>140</v>
      </c>
      <c r="B4" s="145"/>
      <c r="C4" s="145"/>
      <c r="D4" s="146"/>
      <c r="E4" s="258"/>
      <c r="F4" s="171"/>
      <c r="G4" s="171"/>
      <c r="H4" s="171"/>
      <c r="I4" s="171"/>
      <c r="J4" s="172"/>
    </row>
    <row r="5" spans="1:10" ht="12.75" customHeight="1">
      <c r="A5" s="259" t="s">
        <v>156</v>
      </c>
      <c r="B5" s="260"/>
      <c r="C5" s="260"/>
      <c r="D5" s="261"/>
      <c r="E5" s="170"/>
      <c r="F5" s="157"/>
      <c r="G5" s="157"/>
      <c r="H5" s="157"/>
      <c r="I5" s="157"/>
      <c r="J5" s="158"/>
    </row>
    <row r="6" spans="1:10" ht="12.75" customHeight="1">
      <c r="A6" s="253" t="s">
        <v>157</v>
      </c>
      <c r="B6" s="167"/>
      <c r="C6" s="167"/>
      <c r="D6" s="168"/>
      <c r="E6" s="193" t="s">
        <v>83</v>
      </c>
      <c r="F6" s="167"/>
      <c r="G6" s="167"/>
      <c r="H6" s="167"/>
      <c r="I6" s="167"/>
      <c r="J6" s="168"/>
    </row>
    <row r="7" spans="1:10" ht="12.75" customHeight="1">
      <c r="A7" s="115"/>
      <c r="B7" s="113"/>
      <c r="C7" s="113"/>
      <c r="D7" s="113"/>
      <c r="E7" s="254" t="s">
        <v>141</v>
      </c>
      <c r="F7" s="157"/>
      <c r="G7" s="254" t="s">
        <v>142</v>
      </c>
      <c r="H7" s="157"/>
      <c r="I7" s="255" t="s">
        <v>143</v>
      </c>
      <c r="J7" s="158"/>
    </row>
    <row r="8" spans="1:10" ht="12.75" customHeight="1">
      <c r="A8" s="197" t="s">
        <v>144</v>
      </c>
      <c r="B8" s="167"/>
      <c r="C8" s="167"/>
      <c r="D8" s="168"/>
      <c r="E8" s="266"/>
      <c r="F8" s="168"/>
      <c r="G8" s="266"/>
      <c r="H8" s="168"/>
      <c r="I8" s="267"/>
      <c r="J8" s="168"/>
    </row>
    <row r="9" spans="1:10" ht="12.75" customHeight="1">
      <c r="A9" s="262" t="s">
        <v>145</v>
      </c>
      <c r="B9" s="167"/>
      <c r="C9" s="167"/>
      <c r="D9" s="168"/>
      <c r="E9" s="263"/>
      <c r="F9" s="168"/>
      <c r="G9" s="264"/>
      <c r="H9" s="168"/>
      <c r="I9" s="265"/>
      <c r="J9" s="168"/>
    </row>
    <row r="10" spans="1:10" ht="12.75" customHeight="1">
      <c r="A10" s="197" t="s">
        <v>146</v>
      </c>
      <c r="B10" s="167"/>
      <c r="C10" s="167"/>
      <c r="D10" s="168"/>
      <c r="E10" s="266"/>
      <c r="F10" s="168"/>
      <c r="G10" s="266"/>
      <c r="H10" s="168"/>
      <c r="I10" s="267"/>
      <c r="J10" s="168"/>
    </row>
    <row r="11" spans="1:10" ht="12.75" customHeight="1">
      <c r="A11" s="262" t="s">
        <v>147</v>
      </c>
      <c r="B11" s="167"/>
      <c r="C11" s="167"/>
      <c r="D11" s="168"/>
      <c r="E11" s="263">
        <v>10106</v>
      </c>
      <c r="F11" s="168"/>
      <c r="G11" s="264">
        <v>147134</v>
      </c>
      <c r="H11" s="168"/>
      <c r="I11" s="265"/>
      <c r="J11" s="168"/>
    </row>
    <row r="12" spans="1:10" ht="12.75" customHeight="1">
      <c r="A12" s="197" t="s">
        <v>148</v>
      </c>
      <c r="B12" s="167"/>
      <c r="C12" s="167"/>
      <c r="D12" s="168"/>
      <c r="E12" s="266"/>
      <c r="F12" s="168"/>
      <c r="G12" s="266"/>
      <c r="H12" s="168"/>
      <c r="I12" s="267"/>
      <c r="J12" s="168"/>
    </row>
    <row r="13" spans="1:10" ht="12.75" customHeight="1">
      <c r="A13" s="262" t="s">
        <v>149</v>
      </c>
      <c r="B13" s="167"/>
      <c r="C13" s="167"/>
      <c r="D13" s="168"/>
      <c r="E13" s="263"/>
      <c r="F13" s="168"/>
      <c r="G13" s="264"/>
      <c r="H13" s="168"/>
      <c r="I13" s="265"/>
      <c r="J13" s="168"/>
    </row>
    <row r="14" spans="1:10" ht="12.75" customHeight="1">
      <c r="A14" s="197" t="s">
        <v>150</v>
      </c>
      <c r="B14" s="167"/>
      <c r="C14" s="167"/>
      <c r="D14" s="168"/>
      <c r="E14" s="270"/>
      <c r="F14" s="168"/>
      <c r="G14" s="270"/>
      <c r="H14" s="168"/>
      <c r="I14" s="269"/>
      <c r="J14" s="168"/>
    </row>
    <row r="15" spans="1:10" ht="12.75" customHeight="1">
      <c r="A15" s="272"/>
      <c r="B15" s="167"/>
      <c r="C15" s="167"/>
      <c r="D15" s="168"/>
      <c r="E15" s="263"/>
      <c r="F15" s="168"/>
      <c r="G15" s="264"/>
      <c r="H15" s="168"/>
      <c r="I15" s="264"/>
      <c r="J15" s="168"/>
    </row>
    <row r="16" spans="1:10" ht="12.75" customHeight="1">
      <c r="A16" s="272"/>
      <c r="B16" s="167"/>
      <c r="C16" s="167"/>
      <c r="D16" s="168"/>
      <c r="E16" s="263"/>
      <c r="F16" s="168"/>
      <c r="G16" s="264"/>
      <c r="H16" s="168"/>
      <c r="I16" s="264"/>
      <c r="J16" s="168"/>
    </row>
    <row r="17" spans="1:10" ht="12.75" customHeight="1">
      <c r="A17" s="272"/>
      <c r="B17" s="167"/>
      <c r="C17" s="167"/>
      <c r="D17" s="168"/>
      <c r="E17" s="263"/>
      <c r="F17" s="168"/>
      <c r="G17" s="264"/>
      <c r="H17" s="168"/>
      <c r="I17" s="264"/>
      <c r="J17" s="168"/>
    </row>
    <row r="18" spans="1:10" ht="12.75" customHeight="1">
      <c r="A18" s="201" t="s">
        <v>151</v>
      </c>
      <c r="B18" s="167"/>
      <c r="C18" s="167"/>
      <c r="D18" s="168"/>
      <c r="E18" s="273">
        <f>SUM(E8:E17)</f>
        <v>10106</v>
      </c>
      <c r="F18" s="168"/>
      <c r="G18" s="273">
        <f>SUM(G8:G17)</f>
        <v>147134</v>
      </c>
      <c r="H18" s="168"/>
      <c r="I18" s="273">
        <f>SUM(I8:I17)</f>
        <v>0</v>
      </c>
      <c r="J18" s="168"/>
    </row>
    <row r="19" spans="1:10" ht="12.75" customHeight="1">
      <c r="A19" s="274" t="s">
        <v>152</v>
      </c>
      <c r="B19" s="145"/>
      <c r="C19" s="145"/>
      <c r="D19" s="145"/>
      <c r="E19" s="145"/>
      <c r="F19" s="145"/>
      <c r="G19" s="145"/>
      <c r="H19" s="145"/>
      <c r="I19" s="145"/>
      <c r="J19" s="146"/>
    </row>
    <row r="20" spans="1:10" ht="12.75" customHeight="1">
      <c r="A20" s="268" t="s">
        <v>153</v>
      </c>
      <c r="B20" s="161"/>
      <c r="C20" s="161"/>
      <c r="D20" s="161"/>
      <c r="E20" s="161"/>
      <c r="F20" s="161"/>
      <c r="G20" s="161"/>
      <c r="H20" s="161"/>
      <c r="I20" s="161"/>
      <c r="J20" s="162"/>
    </row>
    <row r="21" spans="1:10" ht="12.75" customHeight="1">
      <c r="A21" s="268" t="s">
        <v>154</v>
      </c>
      <c r="B21" s="161"/>
      <c r="C21" s="161"/>
      <c r="D21" s="161"/>
      <c r="E21" s="161"/>
      <c r="F21" s="161"/>
      <c r="G21" s="161"/>
      <c r="H21" s="161"/>
      <c r="I21" s="161"/>
      <c r="J21" s="162"/>
    </row>
    <row r="22" spans="1:10" ht="12.75" customHeight="1">
      <c r="A22" s="271" t="s">
        <v>155</v>
      </c>
      <c r="B22" s="260"/>
      <c r="C22" s="260"/>
      <c r="D22" s="260"/>
      <c r="E22" s="260"/>
      <c r="F22" s="260"/>
      <c r="G22" s="260"/>
      <c r="H22" s="260"/>
      <c r="I22" s="260"/>
      <c r="J22" s="261"/>
    </row>
    <row r="23" spans="1:10" ht="12.75" customHeight="1">
      <c r="A23" s="177" t="s">
        <v>924</v>
      </c>
      <c r="B23" s="171"/>
      <c r="C23" s="171"/>
      <c r="D23" s="171"/>
      <c r="E23" s="171"/>
      <c r="F23" s="171"/>
      <c r="G23" s="171"/>
      <c r="H23" s="171"/>
      <c r="I23" s="171"/>
      <c r="J23" s="172"/>
    </row>
    <row r="24" spans="1:10" ht="12.75" customHeight="1">
      <c r="A24" s="152"/>
      <c r="B24" s="150"/>
      <c r="C24" s="150"/>
      <c r="D24" s="150"/>
      <c r="E24" s="150"/>
      <c r="F24" s="150"/>
      <c r="G24" s="150"/>
      <c r="H24" s="150"/>
      <c r="I24" s="150"/>
      <c r="J24" s="151"/>
    </row>
    <row r="25" spans="1:10" ht="12.75" customHeight="1">
      <c r="A25" s="152"/>
      <c r="B25" s="150"/>
      <c r="C25" s="150"/>
      <c r="D25" s="150"/>
      <c r="E25" s="150"/>
      <c r="F25" s="150"/>
      <c r="G25" s="150"/>
      <c r="H25" s="150"/>
      <c r="I25" s="150"/>
      <c r="J25" s="151"/>
    </row>
    <row r="26" spans="1:10" ht="12.75" customHeight="1">
      <c r="A26" s="152"/>
      <c r="B26" s="150"/>
      <c r="C26" s="150"/>
      <c r="D26" s="150"/>
      <c r="E26" s="150"/>
      <c r="F26" s="150"/>
      <c r="G26" s="150"/>
      <c r="H26" s="150"/>
      <c r="I26" s="150"/>
      <c r="J26" s="151"/>
    </row>
    <row r="27" spans="1:10" ht="12.75" customHeight="1">
      <c r="A27" s="152"/>
      <c r="B27" s="150"/>
      <c r="C27" s="150"/>
      <c r="D27" s="150"/>
      <c r="E27" s="150"/>
      <c r="F27" s="150"/>
      <c r="G27" s="150"/>
      <c r="H27" s="150"/>
      <c r="I27" s="150"/>
      <c r="J27" s="151"/>
    </row>
    <row r="28" spans="1:10" ht="12.75" customHeight="1">
      <c r="A28" s="152"/>
      <c r="B28" s="150"/>
      <c r="C28" s="150"/>
      <c r="D28" s="150"/>
      <c r="E28" s="150"/>
      <c r="F28" s="150"/>
      <c r="G28" s="150"/>
      <c r="H28" s="150"/>
      <c r="I28" s="150"/>
      <c r="J28" s="151"/>
    </row>
    <row r="29" spans="1:10" ht="12.75" customHeight="1">
      <c r="A29" s="152"/>
      <c r="B29" s="150"/>
      <c r="C29" s="150"/>
      <c r="D29" s="150"/>
      <c r="E29" s="150"/>
      <c r="F29" s="150"/>
      <c r="G29" s="150"/>
      <c r="H29" s="150"/>
      <c r="I29" s="150"/>
      <c r="J29" s="151"/>
    </row>
    <row r="30" spans="1:10" ht="12.75" customHeight="1">
      <c r="A30" s="152"/>
      <c r="B30" s="150"/>
      <c r="C30" s="150"/>
      <c r="D30" s="150"/>
      <c r="E30" s="150"/>
      <c r="F30" s="150"/>
      <c r="G30" s="150"/>
      <c r="H30" s="150"/>
      <c r="I30" s="150"/>
      <c r="J30" s="151"/>
    </row>
    <row r="31" spans="1:10" ht="12.75" customHeight="1">
      <c r="A31" s="152"/>
      <c r="B31" s="150"/>
      <c r="C31" s="150"/>
      <c r="D31" s="150"/>
      <c r="E31" s="150"/>
      <c r="F31" s="150"/>
      <c r="G31" s="150"/>
      <c r="H31" s="150"/>
      <c r="I31" s="150"/>
      <c r="J31" s="151"/>
    </row>
    <row r="32" spans="1:10" ht="12.75" customHeight="1">
      <c r="A32" s="152"/>
      <c r="B32" s="150"/>
      <c r="C32" s="150"/>
      <c r="D32" s="150"/>
      <c r="E32" s="150"/>
      <c r="F32" s="150"/>
      <c r="G32" s="150"/>
      <c r="H32" s="150"/>
      <c r="I32" s="150"/>
      <c r="J32" s="151"/>
    </row>
    <row r="33" spans="1:10" ht="12.75" customHeight="1">
      <c r="A33" s="152"/>
      <c r="B33" s="150"/>
      <c r="C33" s="150"/>
      <c r="D33" s="150"/>
      <c r="E33" s="150"/>
      <c r="F33" s="150"/>
      <c r="G33" s="150"/>
      <c r="H33" s="150"/>
      <c r="I33" s="150"/>
      <c r="J33" s="151"/>
    </row>
    <row r="34" spans="1:10" ht="12.75" customHeight="1">
      <c r="A34" s="152"/>
      <c r="B34" s="150"/>
      <c r="C34" s="150"/>
      <c r="D34" s="150"/>
      <c r="E34" s="150"/>
      <c r="F34" s="150"/>
      <c r="G34" s="150"/>
      <c r="H34" s="150"/>
      <c r="I34" s="150"/>
      <c r="J34" s="151"/>
    </row>
    <row r="35" spans="1:10" ht="12.75" customHeight="1">
      <c r="A35" s="152"/>
      <c r="B35" s="150"/>
      <c r="C35" s="150"/>
      <c r="D35" s="150"/>
      <c r="E35" s="150"/>
      <c r="F35" s="150"/>
      <c r="G35" s="150"/>
      <c r="H35" s="150"/>
      <c r="I35" s="150"/>
      <c r="J35" s="151"/>
    </row>
    <row r="36" spans="1:10" ht="12.75" customHeight="1">
      <c r="A36" s="152"/>
      <c r="B36" s="150"/>
      <c r="C36" s="150"/>
      <c r="D36" s="150"/>
      <c r="E36" s="150"/>
      <c r="F36" s="150"/>
      <c r="G36" s="150"/>
      <c r="H36" s="150"/>
      <c r="I36" s="150"/>
      <c r="J36" s="151"/>
    </row>
    <row r="37" spans="1:10" ht="12.75" customHeight="1">
      <c r="A37" s="152"/>
      <c r="B37" s="150"/>
      <c r="C37" s="150"/>
      <c r="D37" s="150"/>
      <c r="E37" s="150"/>
      <c r="F37" s="150"/>
      <c r="G37" s="150"/>
      <c r="H37" s="150"/>
      <c r="I37" s="150"/>
      <c r="J37" s="151"/>
    </row>
    <row r="38" spans="1:10" ht="12.75" customHeight="1">
      <c r="A38" s="152"/>
      <c r="B38" s="150"/>
      <c r="C38" s="150"/>
      <c r="D38" s="150"/>
      <c r="E38" s="150"/>
      <c r="F38" s="150"/>
      <c r="G38" s="150"/>
      <c r="H38" s="150"/>
      <c r="I38" s="150"/>
      <c r="J38" s="151"/>
    </row>
    <row r="39" spans="1:10" ht="12.75" customHeight="1">
      <c r="A39" s="152"/>
      <c r="B39" s="150"/>
      <c r="C39" s="150"/>
      <c r="D39" s="150"/>
      <c r="E39" s="150"/>
      <c r="F39" s="150"/>
      <c r="G39" s="150"/>
      <c r="H39" s="150"/>
      <c r="I39" s="150"/>
      <c r="J39" s="151"/>
    </row>
    <row r="40" spans="1:10" ht="12.75" customHeight="1">
      <c r="A40" s="152"/>
      <c r="B40" s="150"/>
      <c r="C40" s="150"/>
      <c r="D40" s="150"/>
      <c r="E40" s="150"/>
      <c r="F40" s="150"/>
      <c r="G40" s="150"/>
      <c r="H40" s="150"/>
      <c r="I40" s="150"/>
      <c r="J40" s="151"/>
    </row>
    <row r="41" spans="1:10" ht="12.75" customHeight="1">
      <c r="A41" s="152"/>
      <c r="B41" s="150"/>
      <c r="C41" s="150"/>
      <c r="D41" s="150"/>
      <c r="E41" s="150"/>
      <c r="F41" s="150"/>
      <c r="G41" s="150"/>
      <c r="H41" s="150"/>
      <c r="I41" s="150"/>
      <c r="J41" s="151"/>
    </row>
    <row r="42" spans="1:10" ht="12.75" customHeight="1">
      <c r="A42" s="152"/>
      <c r="B42" s="150"/>
      <c r="C42" s="150"/>
      <c r="D42" s="150"/>
      <c r="E42" s="150"/>
      <c r="F42" s="150"/>
      <c r="G42" s="150"/>
      <c r="H42" s="150"/>
      <c r="I42" s="150"/>
      <c r="J42" s="151"/>
    </row>
    <row r="43" spans="1:10" ht="12.75" customHeight="1">
      <c r="A43" s="152"/>
      <c r="B43" s="150"/>
      <c r="C43" s="150"/>
      <c r="D43" s="150"/>
      <c r="E43" s="150"/>
      <c r="F43" s="150"/>
      <c r="G43" s="150"/>
      <c r="H43" s="150"/>
      <c r="I43" s="150"/>
      <c r="J43" s="151"/>
    </row>
    <row r="44" spans="1:10" ht="12.75" customHeight="1">
      <c r="A44" s="152"/>
      <c r="B44" s="150"/>
      <c r="C44" s="150"/>
      <c r="D44" s="150"/>
      <c r="E44" s="150"/>
      <c r="F44" s="150"/>
      <c r="G44" s="150"/>
      <c r="H44" s="150"/>
      <c r="I44" s="150"/>
      <c r="J44" s="151"/>
    </row>
    <row r="45" spans="1:10" ht="12.75" customHeight="1">
      <c r="A45" s="152"/>
      <c r="B45" s="150"/>
      <c r="C45" s="150"/>
      <c r="D45" s="150"/>
      <c r="E45" s="150"/>
      <c r="F45" s="150"/>
      <c r="G45" s="150"/>
      <c r="H45" s="150"/>
      <c r="I45" s="150"/>
      <c r="J45" s="151"/>
    </row>
    <row r="46" spans="1:10" ht="12.75" customHeight="1">
      <c r="A46" s="152"/>
      <c r="B46" s="150"/>
      <c r="C46" s="150"/>
      <c r="D46" s="150"/>
      <c r="E46" s="150"/>
      <c r="F46" s="150"/>
      <c r="G46" s="150"/>
      <c r="H46" s="150"/>
      <c r="I46" s="150"/>
      <c r="J46" s="151"/>
    </row>
    <row r="47" spans="1:10" ht="12.75" customHeight="1">
      <c r="A47" s="152"/>
      <c r="B47" s="150"/>
      <c r="C47" s="150"/>
      <c r="D47" s="150"/>
      <c r="E47" s="150"/>
      <c r="F47" s="150"/>
      <c r="G47" s="150"/>
      <c r="H47" s="150"/>
      <c r="I47" s="150"/>
      <c r="J47" s="151"/>
    </row>
    <row r="48" spans="1:10" ht="12.75" customHeight="1">
      <c r="A48" s="152"/>
      <c r="B48" s="150"/>
      <c r="C48" s="150"/>
      <c r="D48" s="150"/>
      <c r="E48" s="150"/>
      <c r="F48" s="150"/>
      <c r="G48" s="150"/>
      <c r="H48" s="150"/>
      <c r="I48" s="150"/>
      <c r="J48" s="151"/>
    </row>
    <row r="49" spans="1:10" ht="12.75" customHeight="1">
      <c r="A49" s="152"/>
      <c r="B49" s="150"/>
      <c r="C49" s="150"/>
      <c r="D49" s="150"/>
      <c r="E49" s="150"/>
      <c r="F49" s="150"/>
      <c r="G49" s="150"/>
      <c r="H49" s="150"/>
      <c r="I49" s="150"/>
      <c r="J49" s="151"/>
    </row>
    <row r="50" spans="1:10" ht="12.75" customHeight="1">
      <c r="A50" s="152"/>
      <c r="B50" s="150"/>
      <c r="C50" s="150"/>
      <c r="D50" s="150"/>
      <c r="E50" s="150"/>
      <c r="F50" s="150"/>
      <c r="G50" s="150"/>
      <c r="H50" s="150"/>
      <c r="I50" s="150"/>
      <c r="J50" s="151"/>
    </row>
    <row r="51" spans="1:10" ht="12.75" customHeight="1">
      <c r="A51" s="152"/>
      <c r="B51" s="150"/>
      <c r="C51" s="150"/>
      <c r="D51" s="150"/>
      <c r="E51" s="150"/>
      <c r="F51" s="150"/>
      <c r="G51" s="150"/>
      <c r="H51" s="150"/>
      <c r="I51" s="150"/>
      <c r="J51" s="151"/>
    </row>
    <row r="52" spans="1:10" ht="12.75" customHeight="1">
      <c r="A52" s="152"/>
      <c r="B52" s="150"/>
      <c r="C52" s="150"/>
      <c r="D52" s="150"/>
      <c r="E52" s="150"/>
      <c r="F52" s="150"/>
      <c r="G52" s="150"/>
      <c r="H52" s="150"/>
      <c r="I52" s="150"/>
      <c r="J52" s="151"/>
    </row>
    <row r="53" spans="1:10" ht="12.75" customHeight="1">
      <c r="A53" s="152"/>
      <c r="B53" s="150"/>
      <c r="C53" s="150"/>
      <c r="D53" s="150"/>
      <c r="E53" s="150"/>
      <c r="F53" s="150"/>
      <c r="G53" s="150"/>
      <c r="H53" s="150"/>
      <c r="I53" s="150"/>
      <c r="J53" s="151"/>
    </row>
    <row r="54" spans="1:10" ht="12.75" customHeight="1">
      <c r="A54" s="170"/>
      <c r="B54" s="157"/>
      <c r="C54" s="157"/>
      <c r="D54" s="157"/>
      <c r="E54" s="157"/>
      <c r="F54" s="157"/>
      <c r="G54" s="157"/>
      <c r="H54" s="157"/>
      <c r="I54" s="157"/>
      <c r="J54" s="158"/>
    </row>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sheetData>
  <mergeCells count="60">
    <mergeCell ref="A17:D17"/>
    <mergeCell ref="E17:F17"/>
    <mergeCell ref="G17:H17"/>
    <mergeCell ref="I17:J17"/>
    <mergeCell ref="A18:D18"/>
    <mergeCell ref="E18:F18"/>
    <mergeCell ref="G18:H18"/>
    <mergeCell ref="I18:J18"/>
    <mergeCell ref="A19:J19"/>
    <mergeCell ref="A20:J20"/>
    <mergeCell ref="A21:J21"/>
    <mergeCell ref="A22:J22"/>
    <mergeCell ref="A23:J54"/>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2:D12"/>
    <mergeCell ref="E12:F12"/>
    <mergeCell ref="G12:H12"/>
    <mergeCell ref="I12:J12"/>
    <mergeCell ref="A9:D9"/>
    <mergeCell ref="E9:F9"/>
    <mergeCell ref="G9:H9"/>
    <mergeCell ref="I9:J9"/>
    <mergeCell ref="A10:D10"/>
    <mergeCell ref="E10:F10"/>
    <mergeCell ref="G10:H10"/>
    <mergeCell ref="I10:J10"/>
    <mergeCell ref="A8:D8"/>
    <mergeCell ref="E8:F8"/>
    <mergeCell ref="G8:H8"/>
    <mergeCell ref="I8:J8"/>
    <mergeCell ref="A11:D11"/>
    <mergeCell ref="E11:F11"/>
    <mergeCell ref="G11:H11"/>
    <mergeCell ref="I11:J11"/>
    <mergeCell ref="A6:D6"/>
    <mergeCell ref="E6:J6"/>
    <mergeCell ref="E7:F7"/>
    <mergeCell ref="G7:H7"/>
    <mergeCell ref="I7:J7"/>
    <mergeCell ref="A1:G1"/>
    <mergeCell ref="H1:J1"/>
    <mergeCell ref="A3:J3"/>
    <mergeCell ref="A4:D4"/>
    <mergeCell ref="E4:J5"/>
    <mergeCell ref="A5:D5"/>
  </mergeCells>
  <dataValidations count="4">
    <dataValidation type="decimal" allowBlank="1" showInputMessage="1" showErrorMessage="1" prompt="Must enter amount in whole dollars." sqref="E8:E13 G8:G13 I8:I13 E15:E17" xr:uid="{54FA6D53-F41A-4B03-83DF-12425974E1CF}">
      <formula1>0</formula1>
      <formula2>50000000</formula2>
    </dataValidation>
    <dataValidation type="list" allowBlank="1" showInputMessage="1" showErrorMessage="1" prompt="Please select from the drop down list." sqref="E6" xr:uid="{895181B6-33D3-4BF8-A25C-1F9C83F3D492}">
      <formula1>Expenditures</formula1>
    </dataValidation>
    <dataValidation type="custom" allowBlank="1" showInputMessage="1" showErrorMessage="1" prompt="Leave Blank or Describe Other Expenditure. " sqref="A15:A17" xr:uid="{1EDF5A77-1DD4-49F9-921D-7346EA29B451}">
      <formula1>AND(GTE(LEN(A15),MIN((1),(35))),LTE(LEN(A15),MAX((1),(35))))</formula1>
    </dataValidation>
    <dataValidation type="decimal" allowBlank="1" showInputMessage="1" showErrorMessage="1" prompt="Leave blank or enter amount in whole dollars." sqref="G15:G17 I15:I17" xr:uid="{69878B44-BAFE-4810-AE8A-BDE50EDF1DF2}">
      <formula1>0</formula1>
      <formula2>50000000</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5606-B577-49D7-967C-7AB3D93A528B}">
  <dimension ref="A1:J239"/>
  <sheetViews>
    <sheetView workbookViewId="0">
      <selection activeCell="A23" sqref="A23:J54"/>
    </sheetView>
  </sheetViews>
  <sheetFormatPr defaultColWidth="12.5703125" defaultRowHeight="15" customHeight="1"/>
  <cols>
    <col min="1" max="26" width="8.85546875" customWidth="1"/>
  </cols>
  <sheetData>
    <row r="1" spans="1:10" ht="12.75" customHeight="1">
      <c r="A1" s="210" t="s">
        <v>65</v>
      </c>
      <c r="B1" s="167"/>
      <c r="C1" s="167"/>
      <c r="D1" s="167"/>
      <c r="E1" s="167"/>
      <c r="F1" s="167"/>
      <c r="G1" s="189"/>
      <c r="H1" s="211" t="str">
        <f>'CONTACT INFORMATION'!$A$24</f>
        <v>Yolo</v>
      </c>
      <c r="I1" s="167"/>
      <c r="J1" s="168"/>
    </row>
    <row r="2" spans="1:10" ht="12.75" customHeight="1">
      <c r="A2" s="114"/>
      <c r="B2" s="114"/>
      <c r="C2" s="114"/>
      <c r="D2" s="114"/>
      <c r="E2" s="114"/>
      <c r="F2" s="114"/>
      <c r="G2" s="114"/>
      <c r="H2" s="114"/>
      <c r="I2" s="114"/>
      <c r="J2" s="114"/>
    </row>
    <row r="3" spans="1:10" ht="12.75" customHeight="1">
      <c r="A3" s="256" t="s">
        <v>159</v>
      </c>
      <c r="B3" s="167"/>
      <c r="C3" s="167"/>
      <c r="D3" s="167"/>
      <c r="E3" s="167"/>
      <c r="F3" s="167"/>
      <c r="G3" s="167"/>
      <c r="H3" s="167"/>
      <c r="I3" s="167"/>
      <c r="J3" s="168"/>
    </row>
    <row r="4" spans="1:10" ht="12.75" customHeight="1">
      <c r="A4" s="257" t="s">
        <v>140</v>
      </c>
      <c r="B4" s="145"/>
      <c r="C4" s="145"/>
      <c r="D4" s="146"/>
      <c r="E4" s="258"/>
      <c r="F4" s="171"/>
      <c r="G4" s="171"/>
      <c r="H4" s="171"/>
      <c r="I4" s="171"/>
      <c r="J4" s="172"/>
    </row>
    <row r="5" spans="1:10" ht="12.75" customHeight="1">
      <c r="A5" s="259" t="s">
        <v>156</v>
      </c>
      <c r="B5" s="260"/>
      <c r="C5" s="260"/>
      <c r="D5" s="261"/>
      <c r="E5" s="170"/>
      <c r="F5" s="157"/>
      <c r="G5" s="157"/>
      <c r="H5" s="157"/>
      <c r="I5" s="157"/>
      <c r="J5" s="158"/>
    </row>
    <row r="6" spans="1:10" ht="12.75" customHeight="1">
      <c r="A6" s="253" t="s">
        <v>157</v>
      </c>
      <c r="B6" s="167"/>
      <c r="C6" s="167"/>
      <c r="D6" s="168"/>
      <c r="E6" s="193" t="s">
        <v>97</v>
      </c>
      <c r="F6" s="167"/>
      <c r="G6" s="167"/>
      <c r="H6" s="167"/>
      <c r="I6" s="167"/>
      <c r="J6" s="168"/>
    </row>
    <row r="7" spans="1:10" ht="12.75" customHeight="1">
      <c r="A7" s="115"/>
      <c r="B7" s="113"/>
      <c r="C7" s="113"/>
      <c r="D7" s="113"/>
      <c r="E7" s="254" t="s">
        <v>141</v>
      </c>
      <c r="F7" s="157"/>
      <c r="G7" s="254" t="s">
        <v>142</v>
      </c>
      <c r="H7" s="157"/>
      <c r="I7" s="255" t="s">
        <v>143</v>
      </c>
      <c r="J7" s="158"/>
    </row>
    <row r="8" spans="1:10" ht="12.75" customHeight="1">
      <c r="A8" s="197" t="s">
        <v>144</v>
      </c>
      <c r="B8" s="167"/>
      <c r="C8" s="167"/>
      <c r="D8" s="168"/>
      <c r="E8" s="266"/>
      <c r="F8" s="168"/>
      <c r="G8" s="266"/>
      <c r="H8" s="168"/>
      <c r="I8" s="267"/>
      <c r="J8" s="168"/>
    </row>
    <row r="9" spans="1:10" ht="12.75" customHeight="1">
      <c r="A9" s="262" t="s">
        <v>145</v>
      </c>
      <c r="B9" s="167"/>
      <c r="C9" s="167"/>
      <c r="D9" s="168"/>
      <c r="E9" s="263"/>
      <c r="F9" s="168"/>
      <c r="G9" s="264">
        <v>4781</v>
      </c>
      <c r="H9" s="168"/>
      <c r="I9" s="265"/>
      <c r="J9" s="168"/>
    </row>
    <row r="10" spans="1:10" ht="12.75" customHeight="1">
      <c r="A10" s="197" t="s">
        <v>146</v>
      </c>
      <c r="B10" s="167"/>
      <c r="C10" s="167"/>
      <c r="D10" s="168"/>
      <c r="E10" s="266"/>
      <c r="F10" s="168"/>
      <c r="G10" s="266"/>
      <c r="H10" s="168"/>
      <c r="I10" s="267"/>
      <c r="J10" s="168"/>
    </row>
    <row r="11" spans="1:10" ht="12.75" customHeight="1">
      <c r="A11" s="262" t="s">
        <v>147</v>
      </c>
      <c r="B11" s="167"/>
      <c r="C11" s="167"/>
      <c r="D11" s="168"/>
      <c r="E11" s="263"/>
      <c r="F11" s="168"/>
      <c r="G11" s="264"/>
      <c r="H11" s="168"/>
      <c r="I11" s="265"/>
      <c r="J11" s="168"/>
    </row>
    <row r="12" spans="1:10" ht="12.75" customHeight="1">
      <c r="A12" s="197" t="s">
        <v>148</v>
      </c>
      <c r="B12" s="167"/>
      <c r="C12" s="167"/>
      <c r="D12" s="168"/>
      <c r="E12" s="266"/>
      <c r="F12" s="168"/>
      <c r="G12" s="266"/>
      <c r="H12" s="168"/>
      <c r="I12" s="267"/>
      <c r="J12" s="168"/>
    </row>
    <row r="13" spans="1:10" ht="12.75" customHeight="1">
      <c r="A13" s="262" t="s">
        <v>149</v>
      </c>
      <c r="B13" s="167"/>
      <c r="C13" s="167"/>
      <c r="D13" s="168"/>
      <c r="E13" s="263"/>
      <c r="F13" s="168"/>
      <c r="G13" s="264"/>
      <c r="H13" s="168"/>
      <c r="I13" s="265"/>
      <c r="J13" s="168"/>
    </row>
    <row r="14" spans="1:10" ht="12.75" customHeight="1">
      <c r="A14" s="197" t="s">
        <v>150</v>
      </c>
      <c r="B14" s="167"/>
      <c r="C14" s="167"/>
      <c r="D14" s="168"/>
      <c r="E14" s="270"/>
      <c r="F14" s="168"/>
      <c r="G14" s="270"/>
      <c r="H14" s="168"/>
      <c r="I14" s="269"/>
      <c r="J14" s="168"/>
    </row>
    <row r="15" spans="1:10" ht="12.75" customHeight="1">
      <c r="A15" s="272"/>
      <c r="B15" s="167"/>
      <c r="C15" s="167"/>
      <c r="D15" s="168"/>
      <c r="E15" s="263"/>
      <c r="F15" s="168"/>
      <c r="G15" s="264"/>
      <c r="H15" s="168"/>
      <c r="I15" s="264"/>
      <c r="J15" s="168"/>
    </row>
    <row r="16" spans="1:10" ht="12.75" customHeight="1">
      <c r="A16" s="272"/>
      <c r="B16" s="167"/>
      <c r="C16" s="167"/>
      <c r="D16" s="168"/>
      <c r="E16" s="263"/>
      <c r="F16" s="168"/>
      <c r="G16" s="264"/>
      <c r="H16" s="168"/>
      <c r="I16" s="264"/>
      <c r="J16" s="168"/>
    </row>
    <row r="17" spans="1:10" ht="12.75" customHeight="1">
      <c r="A17" s="272"/>
      <c r="B17" s="167"/>
      <c r="C17" s="167"/>
      <c r="D17" s="168"/>
      <c r="E17" s="263"/>
      <c r="F17" s="168"/>
      <c r="G17" s="264"/>
      <c r="H17" s="168"/>
      <c r="I17" s="264"/>
      <c r="J17" s="168"/>
    </row>
    <row r="18" spans="1:10" ht="12.75" customHeight="1">
      <c r="A18" s="201" t="s">
        <v>151</v>
      </c>
      <c r="B18" s="167"/>
      <c r="C18" s="167"/>
      <c r="D18" s="168"/>
      <c r="E18" s="273">
        <f>SUM(E8:E17)</f>
        <v>0</v>
      </c>
      <c r="F18" s="168"/>
      <c r="G18" s="273">
        <f>SUM(G8:G17)</f>
        <v>4781</v>
      </c>
      <c r="H18" s="168"/>
      <c r="I18" s="273">
        <f>SUM(I8:I17)</f>
        <v>0</v>
      </c>
      <c r="J18" s="168"/>
    </row>
    <row r="19" spans="1:10" ht="12.75" customHeight="1">
      <c r="A19" s="274" t="s">
        <v>152</v>
      </c>
      <c r="B19" s="145"/>
      <c r="C19" s="145"/>
      <c r="D19" s="145"/>
      <c r="E19" s="145"/>
      <c r="F19" s="145"/>
      <c r="G19" s="145"/>
      <c r="H19" s="145"/>
      <c r="I19" s="145"/>
      <c r="J19" s="146"/>
    </row>
    <row r="20" spans="1:10" ht="12.75" customHeight="1">
      <c r="A20" s="268" t="s">
        <v>153</v>
      </c>
      <c r="B20" s="161"/>
      <c r="C20" s="161"/>
      <c r="D20" s="161"/>
      <c r="E20" s="161"/>
      <c r="F20" s="161"/>
      <c r="G20" s="161"/>
      <c r="H20" s="161"/>
      <c r="I20" s="161"/>
      <c r="J20" s="162"/>
    </row>
    <row r="21" spans="1:10" ht="12.75" customHeight="1">
      <c r="A21" s="268" t="s">
        <v>154</v>
      </c>
      <c r="B21" s="161"/>
      <c r="C21" s="161"/>
      <c r="D21" s="161"/>
      <c r="E21" s="161"/>
      <c r="F21" s="161"/>
      <c r="G21" s="161"/>
      <c r="H21" s="161"/>
      <c r="I21" s="161"/>
      <c r="J21" s="162"/>
    </row>
    <row r="22" spans="1:10" ht="12.75" customHeight="1">
      <c r="A22" s="271" t="s">
        <v>155</v>
      </c>
      <c r="B22" s="260"/>
      <c r="C22" s="260"/>
      <c r="D22" s="260"/>
      <c r="E22" s="260"/>
      <c r="F22" s="260"/>
      <c r="G22" s="260"/>
      <c r="H22" s="260"/>
      <c r="I22" s="260"/>
      <c r="J22" s="261"/>
    </row>
    <row r="23" spans="1:10" ht="12.75" customHeight="1">
      <c r="A23" s="177" t="s">
        <v>913</v>
      </c>
      <c r="B23" s="171"/>
      <c r="C23" s="171"/>
      <c r="D23" s="171"/>
      <c r="E23" s="171"/>
      <c r="F23" s="171"/>
      <c r="G23" s="171"/>
      <c r="H23" s="171"/>
      <c r="I23" s="171"/>
      <c r="J23" s="172"/>
    </row>
    <row r="24" spans="1:10" ht="12.75" customHeight="1">
      <c r="A24" s="152"/>
      <c r="B24" s="150"/>
      <c r="C24" s="150"/>
      <c r="D24" s="150"/>
      <c r="E24" s="150"/>
      <c r="F24" s="150"/>
      <c r="G24" s="150"/>
      <c r="H24" s="150"/>
      <c r="I24" s="150"/>
      <c r="J24" s="151"/>
    </row>
    <row r="25" spans="1:10" ht="12.75" customHeight="1">
      <c r="A25" s="152"/>
      <c r="B25" s="150"/>
      <c r="C25" s="150"/>
      <c r="D25" s="150"/>
      <c r="E25" s="150"/>
      <c r="F25" s="150"/>
      <c r="G25" s="150"/>
      <c r="H25" s="150"/>
      <c r="I25" s="150"/>
      <c r="J25" s="151"/>
    </row>
    <row r="26" spans="1:10" ht="12.75" customHeight="1">
      <c r="A26" s="152"/>
      <c r="B26" s="150"/>
      <c r="C26" s="150"/>
      <c r="D26" s="150"/>
      <c r="E26" s="150"/>
      <c r="F26" s="150"/>
      <c r="G26" s="150"/>
      <c r="H26" s="150"/>
      <c r="I26" s="150"/>
      <c r="J26" s="151"/>
    </row>
    <row r="27" spans="1:10" ht="12.75" customHeight="1">
      <c r="A27" s="152"/>
      <c r="B27" s="150"/>
      <c r="C27" s="150"/>
      <c r="D27" s="150"/>
      <c r="E27" s="150"/>
      <c r="F27" s="150"/>
      <c r="G27" s="150"/>
      <c r="H27" s="150"/>
      <c r="I27" s="150"/>
      <c r="J27" s="151"/>
    </row>
    <row r="28" spans="1:10" ht="12.75" customHeight="1">
      <c r="A28" s="152"/>
      <c r="B28" s="150"/>
      <c r="C28" s="150"/>
      <c r="D28" s="150"/>
      <c r="E28" s="150"/>
      <c r="F28" s="150"/>
      <c r="G28" s="150"/>
      <c r="H28" s="150"/>
      <c r="I28" s="150"/>
      <c r="J28" s="151"/>
    </row>
    <row r="29" spans="1:10" ht="12.75" customHeight="1">
      <c r="A29" s="152"/>
      <c r="B29" s="150"/>
      <c r="C29" s="150"/>
      <c r="D29" s="150"/>
      <c r="E29" s="150"/>
      <c r="F29" s="150"/>
      <c r="G29" s="150"/>
      <c r="H29" s="150"/>
      <c r="I29" s="150"/>
      <c r="J29" s="151"/>
    </row>
    <row r="30" spans="1:10" ht="12.75" customHeight="1">
      <c r="A30" s="152"/>
      <c r="B30" s="150"/>
      <c r="C30" s="150"/>
      <c r="D30" s="150"/>
      <c r="E30" s="150"/>
      <c r="F30" s="150"/>
      <c r="G30" s="150"/>
      <c r="H30" s="150"/>
      <c r="I30" s="150"/>
      <c r="J30" s="151"/>
    </row>
    <row r="31" spans="1:10" ht="12.75" customHeight="1">
      <c r="A31" s="152"/>
      <c r="B31" s="150"/>
      <c r="C31" s="150"/>
      <c r="D31" s="150"/>
      <c r="E31" s="150"/>
      <c r="F31" s="150"/>
      <c r="G31" s="150"/>
      <c r="H31" s="150"/>
      <c r="I31" s="150"/>
      <c r="J31" s="151"/>
    </row>
    <row r="32" spans="1:10" ht="12.75" customHeight="1">
      <c r="A32" s="152"/>
      <c r="B32" s="150"/>
      <c r="C32" s="150"/>
      <c r="D32" s="150"/>
      <c r="E32" s="150"/>
      <c r="F32" s="150"/>
      <c r="G32" s="150"/>
      <c r="H32" s="150"/>
      <c r="I32" s="150"/>
      <c r="J32" s="151"/>
    </row>
    <row r="33" spans="1:10" ht="12.75" customHeight="1">
      <c r="A33" s="152"/>
      <c r="B33" s="150"/>
      <c r="C33" s="150"/>
      <c r="D33" s="150"/>
      <c r="E33" s="150"/>
      <c r="F33" s="150"/>
      <c r="G33" s="150"/>
      <c r="H33" s="150"/>
      <c r="I33" s="150"/>
      <c r="J33" s="151"/>
    </row>
    <row r="34" spans="1:10" ht="12.75" customHeight="1">
      <c r="A34" s="152"/>
      <c r="B34" s="150"/>
      <c r="C34" s="150"/>
      <c r="D34" s="150"/>
      <c r="E34" s="150"/>
      <c r="F34" s="150"/>
      <c r="G34" s="150"/>
      <c r="H34" s="150"/>
      <c r="I34" s="150"/>
      <c r="J34" s="151"/>
    </row>
    <row r="35" spans="1:10" ht="12.75" customHeight="1">
      <c r="A35" s="152"/>
      <c r="B35" s="150"/>
      <c r="C35" s="150"/>
      <c r="D35" s="150"/>
      <c r="E35" s="150"/>
      <c r="F35" s="150"/>
      <c r="G35" s="150"/>
      <c r="H35" s="150"/>
      <c r="I35" s="150"/>
      <c r="J35" s="151"/>
    </row>
    <row r="36" spans="1:10" ht="12.75" customHeight="1">
      <c r="A36" s="152"/>
      <c r="B36" s="150"/>
      <c r="C36" s="150"/>
      <c r="D36" s="150"/>
      <c r="E36" s="150"/>
      <c r="F36" s="150"/>
      <c r="G36" s="150"/>
      <c r="H36" s="150"/>
      <c r="I36" s="150"/>
      <c r="J36" s="151"/>
    </row>
    <row r="37" spans="1:10" ht="12.75" customHeight="1">
      <c r="A37" s="152"/>
      <c r="B37" s="150"/>
      <c r="C37" s="150"/>
      <c r="D37" s="150"/>
      <c r="E37" s="150"/>
      <c r="F37" s="150"/>
      <c r="G37" s="150"/>
      <c r="H37" s="150"/>
      <c r="I37" s="150"/>
      <c r="J37" s="151"/>
    </row>
    <row r="38" spans="1:10" ht="12.75" customHeight="1">
      <c r="A38" s="152"/>
      <c r="B38" s="150"/>
      <c r="C38" s="150"/>
      <c r="D38" s="150"/>
      <c r="E38" s="150"/>
      <c r="F38" s="150"/>
      <c r="G38" s="150"/>
      <c r="H38" s="150"/>
      <c r="I38" s="150"/>
      <c r="J38" s="151"/>
    </row>
    <row r="39" spans="1:10" ht="12.75" customHeight="1">
      <c r="A39" s="152"/>
      <c r="B39" s="150"/>
      <c r="C39" s="150"/>
      <c r="D39" s="150"/>
      <c r="E39" s="150"/>
      <c r="F39" s="150"/>
      <c r="G39" s="150"/>
      <c r="H39" s="150"/>
      <c r="I39" s="150"/>
      <c r="J39" s="151"/>
    </row>
    <row r="40" spans="1:10" ht="12.75" customHeight="1">
      <c r="A40" s="152"/>
      <c r="B40" s="150"/>
      <c r="C40" s="150"/>
      <c r="D40" s="150"/>
      <c r="E40" s="150"/>
      <c r="F40" s="150"/>
      <c r="G40" s="150"/>
      <c r="H40" s="150"/>
      <c r="I40" s="150"/>
      <c r="J40" s="151"/>
    </row>
    <row r="41" spans="1:10" ht="12.75" customHeight="1">
      <c r="A41" s="152"/>
      <c r="B41" s="150"/>
      <c r="C41" s="150"/>
      <c r="D41" s="150"/>
      <c r="E41" s="150"/>
      <c r="F41" s="150"/>
      <c r="G41" s="150"/>
      <c r="H41" s="150"/>
      <c r="I41" s="150"/>
      <c r="J41" s="151"/>
    </row>
    <row r="42" spans="1:10" ht="12.75" customHeight="1">
      <c r="A42" s="152"/>
      <c r="B42" s="150"/>
      <c r="C42" s="150"/>
      <c r="D42" s="150"/>
      <c r="E42" s="150"/>
      <c r="F42" s="150"/>
      <c r="G42" s="150"/>
      <c r="H42" s="150"/>
      <c r="I42" s="150"/>
      <c r="J42" s="151"/>
    </row>
    <row r="43" spans="1:10" ht="12.75" customHeight="1">
      <c r="A43" s="152"/>
      <c r="B43" s="150"/>
      <c r="C43" s="150"/>
      <c r="D43" s="150"/>
      <c r="E43" s="150"/>
      <c r="F43" s="150"/>
      <c r="G43" s="150"/>
      <c r="H43" s="150"/>
      <c r="I43" s="150"/>
      <c r="J43" s="151"/>
    </row>
    <row r="44" spans="1:10" ht="12.75" customHeight="1">
      <c r="A44" s="152"/>
      <c r="B44" s="150"/>
      <c r="C44" s="150"/>
      <c r="D44" s="150"/>
      <c r="E44" s="150"/>
      <c r="F44" s="150"/>
      <c r="G44" s="150"/>
      <c r="H44" s="150"/>
      <c r="I44" s="150"/>
      <c r="J44" s="151"/>
    </row>
    <row r="45" spans="1:10" ht="12.75" customHeight="1">
      <c r="A45" s="152"/>
      <c r="B45" s="150"/>
      <c r="C45" s="150"/>
      <c r="D45" s="150"/>
      <c r="E45" s="150"/>
      <c r="F45" s="150"/>
      <c r="G45" s="150"/>
      <c r="H45" s="150"/>
      <c r="I45" s="150"/>
      <c r="J45" s="151"/>
    </row>
    <row r="46" spans="1:10" ht="12.75" customHeight="1">
      <c r="A46" s="152"/>
      <c r="B46" s="150"/>
      <c r="C46" s="150"/>
      <c r="D46" s="150"/>
      <c r="E46" s="150"/>
      <c r="F46" s="150"/>
      <c r="G46" s="150"/>
      <c r="H46" s="150"/>
      <c r="I46" s="150"/>
      <c r="J46" s="151"/>
    </row>
    <row r="47" spans="1:10" ht="12.75" customHeight="1">
      <c r="A47" s="152"/>
      <c r="B47" s="150"/>
      <c r="C47" s="150"/>
      <c r="D47" s="150"/>
      <c r="E47" s="150"/>
      <c r="F47" s="150"/>
      <c r="G47" s="150"/>
      <c r="H47" s="150"/>
      <c r="I47" s="150"/>
      <c r="J47" s="151"/>
    </row>
    <row r="48" spans="1:10" ht="12.75" customHeight="1">
      <c r="A48" s="152"/>
      <c r="B48" s="150"/>
      <c r="C48" s="150"/>
      <c r="D48" s="150"/>
      <c r="E48" s="150"/>
      <c r="F48" s="150"/>
      <c r="G48" s="150"/>
      <c r="H48" s="150"/>
      <c r="I48" s="150"/>
      <c r="J48" s="151"/>
    </row>
    <row r="49" spans="1:10" ht="12.75" customHeight="1">
      <c r="A49" s="152"/>
      <c r="B49" s="150"/>
      <c r="C49" s="150"/>
      <c r="D49" s="150"/>
      <c r="E49" s="150"/>
      <c r="F49" s="150"/>
      <c r="G49" s="150"/>
      <c r="H49" s="150"/>
      <c r="I49" s="150"/>
      <c r="J49" s="151"/>
    </row>
    <row r="50" spans="1:10" ht="12.75" customHeight="1">
      <c r="A50" s="152"/>
      <c r="B50" s="150"/>
      <c r="C50" s="150"/>
      <c r="D50" s="150"/>
      <c r="E50" s="150"/>
      <c r="F50" s="150"/>
      <c r="G50" s="150"/>
      <c r="H50" s="150"/>
      <c r="I50" s="150"/>
      <c r="J50" s="151"/>
    </row>
    <row r="51" spans="1:10" ht="12.75" customHeight="1">
      <c r="A51" s="152"/>
      <c r="B51" s="150"/>
      <c r="C51" s="150"/>
      <c r="D51" s="150"/>
      <c r="E51" s="150"/>
      <c r="F51" s="150"/>
      <c r="G51" s="150"/>
      <c r="H51" s="150"/>
      <c r="I51" s="150"/>
      <c r="J51" s="151"/>
    </row>
    <row r="52" spans="1:10" ht="12.75" customHeight="1">
      <c r="A52" s="152"/>
      <c r="B52" s="150"/>
      <c r="C52" s="150"/>
      <c r="D52" s="150"/>
      <c r="E52" s="150"/>
      <c r="F52" s="150"/>
      <c r="G52" s="150"/>
      <c r="H52" s="150"/>
      <c r="I52" s="150"/>
      <c r="J52" s="151"/>
    </row>
    <row r="53" spans="1:10" ht="12.75" customHeight="1">
      <c r="A53" s="152"/>
      <c r="B53" s="150"/>
      <c r="C53" s="150"/>
      <c r="D53" s="150"/>
      <c r="E53" s="150"/>
      <c r="F53" s="150"/>
      <c r="G53" s="150"/>
      <c r="H53" s="150"/>
      <c r="I53" s="150"/>
      <c r="J53" s="151"/>
    </row>
    <row r="54" spans="1:10" ht="12.75" customHeight="1">
      <c r="A54" s="170"/>
      <c r="B54" s="157"/>
      <c r="C54" s="157"/>
      <c r="D54" s="157"/>
      <c r="E54" s="157"/>
      <c r="F54" s="157"/>
      <c r="G54" s="157"/>
      <c r="H54" s="157"/>
      <c r="I54" s="157"/>
      <c r="J54" s="158"/>
    </row>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sheetData>
  <mergeCells count="60">
    <mergeCell ref="A17:D17"/>
    <mergeCell ref="E17:F17"/>
    <mergeCell ref="G17:H17"/>
    <mergeCell ref="I17:J17"/>
    <mergeCell ref="A18:D18"/>
    <mergeCell ref="E18:F18"/>
    <mergeCell ref="G18:H18"/>
    <mergeCell ref="I18:J18"/>
    <mergeCell ref="A19:J19"/>
    <mergeCell ref="A20:J20"/>
    <mergeCell ref="A21:J21"/>
    <mergeCell ref="A22:J22"/>
    <mergeCell ref="A23:J54"/>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2:D12"/>
    <mergeCell ref="E12:F12"/>
    <mergeCell ref="G12:H12"/>
    <mergeCell ref="I12:J12"/>
    <mergeCell ref="A9:D9"/>
    <mergeCell ref="E9:F9"/>
    <mergeCell ref="G9:H9"/>
    <mergeCell ref="I9:J9"/>
    <mergeCell ref="A10:D10"/>
    <mergeCell ref="E10:F10"/>
    <mergeCell ref="G10:H10"/>
    <mergeCell ref="I10:J10"/>
    <mergeCell ref="A8:D8"/>
    <mergeCell ref="E8:F8"/>
    <mergeCell ref="G8:H8"/>
    <mergeCell ref="I8:J8"/>
    <mergeCell ref="A11:D11"/>
    <mergeCell ref="E11:F11"/>
    <mergeCell ref="G11:H11"/>
    <mergeCell ref="I11:J11"/>
    <mergeCell ref="A6:D6"/>
    <mergeCell ref="E6:J6"/>
    <mergeCell ref="E7:F7"/>
    <mergeCell ref="G7:H7"/>
    <mergeCell ref="I7:J7"/>
    <mergeCell ref="A1:G1"/>
    <mergeCell ref="H1:J1"/>
    <mergeCell ref="A3:J3"/>
    <mergeCell ref="A4:D4"/>
    <mergeCell ref="E4:J5"/>
    <mergeCell ref="A5:D5"/>
  </mergeCells>
  <dataValidations count="4">
    <dataValidation type="decimal" allowBlank="1" showInputMessage="1" showErrorMessage="1" prompt="Leave blank or enter amount in whole dollars." sqref="G15:G17 I15:I17" xr:uid="{CE13538F-66D5-44FB-8EF9-DECC420EA149}">
      <formula1>0</formula1>
      <formula2>50000000</formula2>
    </dataValidation>
    <dataValidation type="custom" allowBlank="1" showInputMessage="1" showErrorMessage="1" prompt="Leave Blank or Describe Other Expenditure. " sqref="A15:A17" xr:uid="{1E76D0AD-9C12-4B2D-B8F5-E544BDC6B317}">
      <formula1>AND(GTE(LEN(A15),MIN((1),(35))),LTE(LEN(A15),MAX((1),(35))))</formula1>
    </dataValidation>
    <dataValidation type="list" allowBlank="1" showInputMessage="1" showErrorMessage="1" prompt="Please select from the drop down list." sqref="E6" xr:uid="{A15E631E-E2D3-4864-B023-2C1256EBE78F}">
      <formula1>Expenditures</formula1>
    </dataValidation>
    <dataValidation type="decimal" allowBlank="1" showInputMessage="1" showErrorMessage="1" prompt="Must enter amount in whole dollars." sqref="E8:E13 G8:G13 I8:I13 E15:E17" xr:uid="{88EDB053-DFFE-4369-8F23-C00192DF78E3}">
      <formula1>0</formula1>
      <formula2>50000000</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8F01-084D-4717-A95D-5C87B70786C7}">
  <dimension ref="A1:J239"/>
  <sheetViews>
    <sheetView topLeftCell="A4" workbookViewId="0">
      <selection activeCell="A23" sqref="A23:J54"/>
    </sheetView>
  </sheetViews>
  <sheetFormatPr defaultColWidth="12.5703125" defaultRowHeight="15" customHeight="1"/>
  <cols>
    <col min="1" max="26" width="8.85546875" customWidth="1"/>
  </cols>
  <sheetData>
    <row r="1" spans="1:10" ht="12.75" customHeight="1">
      <c r="A1" s="210" t="s">
        <v>65</v>
      </c>
      <c r="B1" s="167"/>
      <c r="C1" s="167"/>
      <c r="D1" s="167"/>
      <c r="E1" s="167"/>
      <c r="F1" s="167"/>
      <c r="G1" s="189"/>
      <c r="H1" s="211" t="str">
        <f>'CONTACT INFORMATION'!$A$24</f>
        <v>Yolo</v>
      </c>
      <c r="I1" s="167"/>
      <c r="J1" s="168"/>
    </row>
    <row r="2" spans="1:10" ht="12.75" customHeight="1">
      <c r="A2" s="114"/>
      <c r="B2" s="114"/>
      <c r="C2" s="114"/>
      <c r="D2" s="114"/>
      <c r="E2" s="114"/>
      <c r="F2" s="114"/>
      <c r="G2" s="114"/>
      <c r="H2" s="114"/>
      <c r="I2" s="114"/>
      <c r="J2" s="114"/>
    </row>
    <row r="3" spans="1:10" ht="12.75" customHeight="1">
      <c r="A3" s="256" t="s">
        <v>161</v>
      </c>
      <c r="B3" s="167"/>
      <c r="C3" s="167"/>
      <c r="D3" s="167"/>
      <c r="E3" s="167"/>
      <c r="F3" s="167"/>
      <c r="G3" s="167"/>
      <c r="H3" s="167"/>
      <c r="I3" s="167"/>
      <c r="J3" s="168"/>
    </row>
    <row r="4" spans="1:10" ht="12.75" customHeight="1">
      <c r="A4" s="257" t="s">
        <v>140</v>
      </c>
      <c r="B4" s="145"/>
      <c r="C4" s="145"/>
      <c r="D4" s="146"/>
      <c r="E4" s="258"/>
      <c r="F4" s="171"/>
      <c r="G4" s="171"/>
      <c r="H4" s="171"/>
      <c r="I4" s="171"/>
      <c r="J4" s="172"/>
    </row>
    <row r="5" spans="1:10" ht="12.75" customHeight="1">
      <c r="A5" s="259" t="s">
        <v>156</v>
      </c>
      <c r="B5" s="260"/>
      <c r="C5" s="260"/>
      <c r="D5" s="261"/>
      <c r="E5" s="170"/>
      <c r="F5" s="157"/>
      <c r="G5" s="157"/>
      <c r="H5" s="157"/>
      <c r="I5" s="157"/>
      <c r="J5" s="158"/>
    </row>
    <row r="6" spans="1:10" ht="12.75" customHeight="1">
      <c r="A6" s="253" t="s">
        <v>157</v>
      </c>
      <c r="B6" s="167"/>
      <c r="C6" s="167"/>
      <c r="D6" s="168"/>
      <c r="E6" s="193" t="s">
        <v>111</v>
      </c>
      <c r="F6" s="167"/>
      <c r="G6" s="167"/>
      <c r="H6" s="167"/>
      <c r="I6" s="167"/>
      <c r="J6" s="168"/>
    </row>
    <row r="7" spans="1:10" ht="12.75" customHeight="1">
      <c r="A7" s="115"/>
      <c r="B7" s="113"/>
      <c r="C7" s="113"/>
      <c r="D7" s="113"/>
      <c r="E7" s="254" t="s">
        <v>141</v>
      </c>
      <c r="F7" s="157"/>
      <c r="G7" s="254" t="s">
        <v>142</v>
      </c>
      <c r="H7" s="157"/>
      <c r="I7" s="255" t="s">
        <v>143</v>
      </c>
      <c r="J7" s="158"/>
    </row>
    <row r="8" spans="1:10" ht="12.75" customHeight="1">
      <c r="A8" s="197" t="s">
        <v>144</v>
      </c>
      <c r="B8" s="167"/>
      <c r="C8" s="167"/>
      <c r="D8" s="168"/>
      <c r="E8" s="266">
        <v>875856</v>
      </c>
      <c r="F8" s="168"/>
      <c r="G8" s="266">
        <v>509163</v>
      </c>
      <c r="H8" s="168"/>
      <c r="I8" s="267"/>
      <c r="J8" s="168"/>
    </row>
    <row r="9" spans="1:10" ht="12.75" customHeight="1">
      <c r="A9" s="262" t="s">
        <v>145</v>
      </c>
      <c r="B9" s="167"/>
      <c r="C9" s="167"/>
      <c r="D9" s="168"/>
      <c r="E9" s="263">
        <v>63549</v>
      </c>
      <c r="F9" s="168"/>
      <c r="G9" s="264">
        <v>29184</v>
      </c>
      <c r="H9" s="168"/>
      <c r="I9" s="265"/>
      <c r="J9" s="168"/>
    </row>
    <row r="10" spans="1:10" ht="12.75" customHeight="1">
      <c r="A10" s="197" t="s">
        <v>146</v>
      </c>
      <c r="B10" s="167"/>
      <c r="C10" s="167"/>
      <c r="D10" s="168"/>
      <c r="E10" s="266"/>
      <c r="F10" s="168"/>
      <c r="G10" s="266"/>
      <c r="H10" s="168"/>
      <c r="I10" s="267"/>
      <c r="J10" s="168"/>
    </row>
    <row r="11" spans="1:10" ht="12.75" customHeight="1">
      <c r="A11" s="262" t="s">
        <v>147</v>
      </c>
      <c r="B11" s="167"/>
      <c r="C11" s="167"/>
      <c r="D11" s="168"/>
      <c r="E11" s="263"/>
      <c r="F11" s="168"/>
      <c r="G11" s="264"/>
      <c r="H11" s="168"/>
      <c r="I11" s="265"/>
      <c r="J11" s="168"/>
    </row>
    <row r="12" spans="1:10" ht="12.75" customHeight="1">
      <c r="A12" s="197" t="s">
        <v>148</v>
      </c>
      <c r="B12" s="167"/>
      <c r="C12" s="167"/>
      <c r="D12" s="168"/>
      <c r="E12" s="266"/>
      <c r="F12" s="168"/>
      <c r="G12" s="266">
        <v>61546</v>
      </c>
      <c r="H12" s="168"/>
      <c r="I12" s="267"/>
      <c r="J12" s="168"/>
    </row>
    <row r="13" spans="1:10" ht="12.75" customHeight="1">
      <c r="A13" s="262" t="s">
        <v>149</v>
      </c>
      <c r="B13" s="167"/>
      <c r="C13" s="167"/>
      <c r="D13" s="168"/>
      <c r="E13" s="263">
        <v>22943</v>
      </c>
      <c r="F13" s="168"/>
      <c r="G13" s="264">
        <v>22944</v>
      </c>
      <c r="H13" s="168"/>
      <c r="I13" s="265"/>
      <c r="J13" s="168"/>
    </row>
    <row r="14" spans="1:10" ht="12.75" customHeight="1">
      <c r="A14" s="197" t="s">
        <v>150</v>
      </c>
      <c r="B14" s="167"/>
      <c r="C14" s="167"/>
      <c r="D14" s="168"/>
      <c r="E14" s="270"/>
      <c r="F14" s="168"/>
      <c r="G14" s="270"/>
      <c r="H14" s="168"/>
      <c r="I14" s="269"/>
      <c r="J14" s="168"/>
    </row>
    <row r="15" spans="1:10" ht="12.75" customHeight="1">
      <c r="A15" s="272"/>
      <c r="B15" s="167"/>
      <c r="C15" s="167"/>
      <c r="D15" s="168"/>
      <c r="E15" s="263"/>
      <c r="F15" s="168"/>
      <c r="G15" s="264">
        <v>0</v>
      </c>
      <c r="H15" s="168"/>
      <c r="I15" s="264"/>
      <c r="J15" s="168"/>
    </row>
    <row r="16" spans="1:10" ht="12.75" customHeight="1">
      <c r="A16" s="272"/>
      <c r="B16" s="167"/>
      <c r="C16" s="167"/>
      <c r="D16" s="168"/>
      <c r="E16" s="263"/>
      <c r="F16" s="168"/>
      <c r="G16" s="264"/>
      <c r="H16" s="168"/>
      <c r="I16" s="264"/>
      <c r="J16" s="168"/>
    </row>
    <row r="17" spans="1:10" ht="12.75" customHeight="1">
      <c r="A17" s="272"/>
      <c r="B17" s="167"/>
      <c r="C17" s="167"/>
      <c r="D17" s="168"/>
      <c r="E17" s="263"/>
      <c r="F17" s="168"/>
      <c r="G17" s="264"/>
      <c r="H17" s="168"/>
      <c r="I17" s="264"/>
      <c r="J17" s="168"/>
    </row>
    <row r="18" spans="1:10" ht="12.75" customHeight="1">
      <c r="A18" s="201" t="s">
        <v>151</v>
      </c>
      <c r="B18" s="167"/>
      <c r="C18" s="167"/>
      <c r="D18" s="168"/>
      <c r="E18" s="273">
        <f>SUM(E8:E17)</f>
        <v>962348</v>
      </c>
      <c r="F18" s="168"/>
      <c r="G18" s="273">
        <f>SUM(G8:G17)</f>
        <v>622837</v>
      </c>
      <c r="H18" s="168"/>
      <c r="I18" s="273">
        <f>SUM(I8:I17)</f>
        <v>0</v>
      </c>
      <c r="J18" s="168"/>
    </row>
    <row r="19" spans="1:10" ht="12.75" customHeight="1">
      <c r="A19" s="274" t="s">
        <v>152</v>
      </c>
      <c r="B19" s="145"/>
      <c r="C19" s="145"/>
      <c r="D19" s="145"/>
      <c r="E19" s="145"/>
      <c r="F19" s="145"/>
      <c r="G19" s="145"/>
      <c r="H19" s="145"/>
      <c r="I19" s="145"/>
      <c r="J19" s="146"/>
    </row>
    <row r="20" spans="1:10" ht="12.75" customHeight="1">
      <c r="A20" s="268" t="s">
        <v>153</v>
      </c>
      <c r="B20" s="161"/>
      <c r="C20" s="161"/>
      <c r="D20" s="161"/>
      <c r="E20" s="161"/>
      <c r="F20" s="161"/>
      <c r="G20" s="161"/>
      <c r="H20" s="161"/>
      <c r="I20" s="161"/>
      <c r="J20" s="162"/>
    </row>
    <row r="21" spans="1:10" ht="12.75" customHeight="1">
      <c r="A21" s="268" t="s">
        <v>154</v>
      </c>
      <c r="B21" s="161"/>
      <c r="C21" s="161"/>
      <c r="D21" s="161"/>
      <c r="E21" s="161"/>
      <c r="F21" s="161"/>
      <c r="G21" s="161"/>
      <c r="H21" s="161"/>
      <c r="I21" s="161"/>
      <c r="J21" s="162"/>
    </row>
    <row r="22" spans="1:10" ht="12.75" customHeight="1">
      <c r="A22" s="271" t="s">
        <v>155</v>
      </c>
      <c r="B22" s="260"/>
      <c r="C22" s="260"/>
      <c r="D22" s="260"/>
      <c r="E22" s="260"/>
      <c r="F22" s="260"/>
      <c r="G22" s="260"/>
      <c r="H22" s="260"/>
      <c r="I22" s="260"/>
      <c r="J22" s="261"/>
    </row>
    <row r="23" spans="1:10" ht="12.75" customHeight="1">
      <c r="A23" s="177" t="s">
        <v>918</v>
      </c>
      <c r="B23" s="171"/>
      <c r="C23" s="171"/>
      <c r="D23" s="171"/>
      <c r="E23" s="171"/>
      <c r="F23" s="171"/>
      <c r="G23" s="171"/>
      <c r="H23" s="171"/>
      <c r="I23" s="171"/>
      <c r="J23" s="172"/>
    </row>
    <row r="24" spans="1:10" ht="12.75" customHeight="1">
      <c r="A24" s="152"/>
      <c r="B24" s="150"/>
      <c r="C24" s="150"/>
      <c r="D24" s="150"/>
      <c r="E24" s="150"/>
      <c r="F24" s="150"/>
      <c r="G24" s="150"/>
      <c r="H24" s="150"/>
      <c r="I24" s="150"/>
      <c r="J24" s="151"/>
    </row>
    <row r="25" spans="1:10" ht="12.75" customHeight="1">
      <c r="A25" s="152"/>
      <c r="B25" s="150"/>
      <c r="C25" s="150"/>
      <c r="D25" s="150"/>
      <c r="E25" s="150"/>
      <c r="F25" s="150"/>
      <c r="G25" s="150"/>
      <c r="H25" s="150"/>
      <c r="I25" s="150"/>
      <c r="J25" s="151"/>
    </row>
    <row r="26" spans="1:10" ht="12.75" customHeight="1">
      <c r="A26" s="152"/>
      <c r="B26" s="150"/>
      <c r="C26" s="150"/>
      <c r="D26" s="150"/>
      <c r="E26" s="150"/>
      <c r="F26" s="150"/>
      <c r="G26" s="150"/>
      <c r="H26" s="150"/>
      <c r="I26" s="150"/>
      <c r="J26" s="151"/>
    </row>
    <row r="27" spans="1:10" ht="12.75" customHeight="1">
      <c r="A27" s="152"/>
      <c r="B27" s="150"/>
      <c r="C27" s="150"/>
      <c r="D27" s="150"/>
      <c r="E27" s="150"/>
      <c r="F27" s="150"/>
      <c r="G27" s="150"/>
      <c r="H27" s="150"/>
      <c r="I27" s="150"/>
      <c r="J27" s="151"/>
    </row>
    <row r="28" spans="1:10" ht="12.75" customHeight="1">
      <c r="A28" s="152"/>
      <c r="B28" s="150"/>
      <c r="C28" s="150"/>
      <c r="D28" s="150"/>
      <c r="E28" s="150"/>
      <c r="F28" s="150"/>
      <c r="G28" s="150"/>
      <c r="H28" s="150"/>
      <c r="I28" s="150"/>
      <c r="J28" s="151"/>
    </row>
    <row r="29" spans="1:10" ht="12.75" customHeight="1">
      <c r="A29" s="152"/>
      <c r="B29" s="150"/>
      <c r="C29" s="150"/>
      <c r="D29" s="150"/>
      <c r="E29" s="150"/>
      <c r="F29" s="150"/>
      <c r="G29" s="150"/>
      <c r="H29" s="150"/>
      <c r="I29" s="150"/>
      <c r="J29" s="151"/>
    </row>
    <row r="30" spans="1:10" ht="12.75" customHeight="1">
      <c r="A30" s="152"/>
      <c r="B30" s="150"/>
      <c r="C30" s="150"/>
      <c r="D30" s="150"/>
      <c r="E30" s="150"/>
      <c r="F30" s="150"/>
      <c r="G30" s="150"/>
      <c r="H30" s="150"/>
      <c r="I30" s="150"/>
      <c r="J30" s="151"/>
    </row>
    <row r="31" spans="1:10" ht="12.75" customHeight="1">
      <c r="A31" s="152"/>
      <c r="B31" s="150"/>
      <c r="C31" s="150"/>
      <c r="D31" s="150"/>
      <c r="E31" s="150"/>
      <c r="F31" s="150"/>
      <c r="G31" s="150"/>
      <c r="H31" s="150"/>
      <c r="I31" s="150"/>
      <c r="J31" s="151"/>
    </row>
    <row r="32" spans="1:10" ht="12.75" customHeight="1">
      <c r="A32" s="152"/>
      <c r="B32" s="150"/>
      <c r="C32" s="150"/>
      <c r="D32" s="150"/>
      <c r="E32" s="150"/>
      <c r="F32" s="150"/>
      <c r="G32" s="150"/>
      <c r="H32" s="150"/>
      <c r="I32" s="150"/>
      <c r="J32" s="151"/>
    </row>
    <row r="33" spans="1:10" ht="12.75" customHeight="1">
      <c r="A33" s="152"/>
      <c r="B33" s="150"/>
      <c r="C33" s="150"/>
      <c r="D33" s="150"/>
      <c r="E33" s="150"/>
      <c r="F33" s="150"/>
      <c r="G33" s="150"/>
      <c r="H33" s="150"/>
      <c r="I33" s="150"/>
      <c r="J33" s="151"/>
    </row>
    <row r="34" spans="1:10" ht="12.75" customHeight="1">
      <c r="A34" s="152"/>
      <c r="B34" s="150"/>
      <c r="C34" s="150"/>
      <c r="D34" s="150"/>
      <c r="E34" s="150"/>
      <c r="F34" s="150"/>
      <c r="G34" s="150"/>
      <c r="H34" s="150"/>
      <c r="I34" s="150"/>
      <c r="J34" s="151"/>
    </row>
    <row r="35" spans="1:10" ht="12.75" customHeight="1">
      <c r="A35" s="152"/>
      <c r="B35" s="150"/>
      <c r="C35" s="150"/>
      <c r="D35" s="150"/>
      <c r="E35" s="150"/>
      <c r="F35" s="150"/>
      <c r="G35" s="150"/>
      <c r="H35" s="150"/>
      <c r="I35" s="150"/>
      <c r="J35" s="151"/>
    </row>
    <row r="36" spans="1:10" ht="12.75" customHeight="1">
      <c r="A36" s="152"/>
      <c r="B36" s="150"/>
      <c r="C36" s="150"/>
      <c r="D36" s="150"/>
      <c r="E36" s="150"/>
      <c r="F36" s="150"/>
      <c r="G36" s="150"/>
      <c r="H36" s="150"/>
      <c r="I36" s="150"/>
      <c r="J36" s="151"/>
    </row>
    <row r="37" spans="1:10" ht="12.75" customHeight="1">
      <c r="A37" s="152"/>
      <c r="B37" s="150"/>
      <c r="C37" s="150"/>
      <c r="D37" s="150"/>
      <c r="E37" s="150"/>
      <c r="F37" s="150"/>
      <c r="G37" s="150"/>
      <c r="H37" s="150"/>
      <c r="I37" s="150"/>
      <c r="J37" s="151"/>
    </row>
    <row r="38" spans="1:10" ht="12.75" customHeight="1">
      <c r="A38" s="152"/>
      <c r="B38" s="150"/>
      <c r="C38" s="150"/>
      <c r="D38" s="150"/>
      <c r="E38" s="150"/>
      <c r="F38" s="150"/>
      <c r="G38" s="150"/>
      <c r="H38" s="150"/>
      <c r="I38" s="150"/>
      <c r="J38" s="151"/>
    </row>
    <row r="39" spans="1:10" ht="12.75" customHeight="1">
      <c r="A39" s="152"/>
      <c r="B39" s="150"/>
      <c r="C39" s="150"/>
      <c r="D39" s="150"/>
      <c r="E39" s="150"/>
      <c r="F39" s="150"/>
      <c r="G39" s="150"/>
      <c r="H39" s="150"/>
      <c r="I39" s="150"/>
      <c r="J39" s="151"/>
    </row>
    <row r="40" spans="1:10" ht="12.75" customHeight="1">
      <c r="A40" s="152"/>
      <c r="B40" s="150"/>
      <c r="C40" s="150"/>
      <c r="D40" s="150"/>
      <c r="E40" s="150"/>
      <c r="F40" s="150"/>
      <c r="G40" s="150"/>
      <c r="H40" s="150"/>
      <c r="I40" s="150"/>
      <c r="J40" s="151"/>
    </row>
    <row r="41" spans="1:10" ht="12.75" customHeight="1">
      <c r="A41" s="152"/>
      <c r="B41" s="150"/>
      <c r="C41" s="150"/>
      <c r="D41" s="150"/>
      <c r="E41" s="150"/>
      <c r="F41" s="150"/>
      <c r="G41" s="150"/>
      <c r="H41" s="150"/>
      <c r="I41" s="150"/>
      <c r="J41" s="151"/>
    </row>
    <row r="42" spans="1:10" ht="12.75" customHeight="1">
      <c r="A42" s="152"/>
      <c r="B42" s="150"/>
      <c r="C42" s="150"/>
      <c r="D42" s="150"/>
      <c r="E42" s="150"/>
      <c r="F42" s="150"/>
      <c r="G42" s="150"/>
      <c r="H42" s="150"/>
      <c r="I42" s="150"/>
      <c r="J42" s="151"/>
    </row>
    <row r="43" spans="1:10" ht="12.75" customHeight="1">
      <c r="A43" s="152"/>
      <c r="B43" s="150"/>
      <c r="C43" s="150"/>
      <c r="D43" s="150"/>
      <c r="E43" s="150"/>
      <c r="F43" s="150"/>
      <c r="G43" s="150"/>
      <c r="H43" s="150"/>
      <c r="I43" s="150"/>
      <c r="J43" s="151"/>
    </row>
    <row r="44" spans="1:10" ht="12.75" customHeight="1">
      <c r="A44" s="152"/>
      <c r="B44" s="150"/>
      <c r="C44" s="150"/>
      <c r="D44" s="150"/>
      <c r="E44" s="150"/>
      <c r="F44" s="150"/>
      <c r="G44" s="150"/>
      <c r="H44" s="150"/>
      <c r="I44" s="150"/>
      <c r="J44" s="151"/>
    </row>
    <row r="45" spans="1:10" ht="12.75" customHeight="1">
      <c r="A45" s="152"/>
      <c r="B45" s="150"/>
      <c r="C45" s="150"/>
      <c r="D45" s="150"/>
      <c r="E45" s="150"/>
      <c r="F45" s="150"/>
      <c r="G45" s="150"/>
      <c r="H45" s="150"/>
      <c r="I45" s="150"/>
      <c r="J45" s="151"/>
    </row>
    <row r="46" spans="1:10" ht="12.75" customHeight="1">
      <c r="A46" s="152"/>
      <c r="B46" s="150"/>
      <c r="C46" s="150"/>
      <c r="D46" s="150"/>
      <c r="E46" s="150"/>
      <c r="F46" s="150"/>
      <c r="G46" s="150"/>
      <c r="H46" s="150"/>
      <c r="I46" s="150"/>
      <c r="J46" s="151"/>
    </row>
    <row r="47" spans="1:10" ht="12.75" customHeight="1">
      <c r="A47" s="152"/>
      <c r="B47" s="150"/>
      <c r="C47" s="150"/>
      <c r="D47" s="150"/>
      <c r="E47" s="150"/>
      <c r="F47" s="150"/>
      <c r="G47" s="150"/>
      <c r="H47" s="150"/>
      <c r="I47" s="150"/>
      <c r="J47" s="151"/>
    </row>
    <row r="48" spans="1:10" ht="12.75" customHeight="1">
      <c r="A48" s="152"/>
      <c r="B48" s="150"/>
      <c r="C48" s="150"/>
      <c r="D48" s="150"/>
      <c r="E48" s="150"/>
      <c r="F48" s="150"/>
      <c r="G48" s="150"/>
      <c r="H48" s="150"/>
      <c r="I48" s="150"/>
      <c r="J48" s="151"/>
    </row>
    <row r="49" spans="1:10" ht="12.75" customHeight="1">
      <c r="A49" s="152"/>
      <c r="B49" s="150"/>
      <c r="C49" s="150"/>
      <c r="D49" s="150"/>
      <c r="E49" s="150"/>
      <c r="F49" s="150"/>
      <c r="G49" s="150"/>
      <c r="H49" s="150"/>
      <c r="I49" s="150"/>
      <c r="J49" s="151"/>
    </row>
    <row r="50" spans="1:10" ht="12.75" customHeight="1">
      <c r="A50" s="152"/>
      <c r="B50" s="150"/>
      <c r="C50" s="150"/>
      <c r="D50" s="150"/>
      <c r="E50" s="150"/>
      <c r="F50" s="150"/>
      <c r="G50" s="150"/>
      <c r="H50" s="150"/>
      <c r="I50" s="150"/>
      <c r="J50" s="151"/>
    </row>
    <row r="51" spans="1:10" ht="12.75" customHeight="1">
      <c r="A51" s="152"/>
      <c r="B51" s="150"/>
      <c r="C51" s="150"/>
      <c r="D51" s="150"/>
      <c r="E51" s="150"/>
      <c r="F51" s="150"/>
      <c r="G51" s="150"/>
      <c r="H51" s="150"/>
      <c r="I51" s="150"/>
      <c r="J51" s="151"/>
    </row>
    <row r="52" spans="1:10" ht="12.75" customHeight="1">
      <c r="A52" s="152"/>
      <c r="B52" s="150"/>
      <c r="C52" s="150"/>
      <c r="D52" s="150"/>
      <c r="E52" s="150"/>
      <c r="F52" s="150"/>
      <c r="G52" s="150"/>
      <c r="H52" s="150"/>
      <c r="I52" s="150"/>
      <c r="J52" s="151"/>
    </row>
    <row r="53" spans="1:10" ht="12.75" customHeight="1">
      <c r="A53" s="152"/>
      <c r="B53" s="150"/>
      <c r="C53" s="150"/>
      <c r="D53" s="150"/>
      <c r="E53" s="150"/>
      <c r="F53" s="150"/>
      <c r="G53" s="150"/>
      <c r="H53" s="150"/>
      <c r="I53" s="150"/>
      <c r="J53" s="151"/>
    </row>
    <row r="54" spans="1:10" ht="12.75" customHeight="1">
      <c r="A54" s="170"/>
      <c r="B54" s="157"/>
      <c r="C54" s="157"/>
      <c r="D54" s="157"/>
      <c r="E54" s="157"/>
      <c r="F54" s="157"/>
      <c r="G54" s="157"/>
      <c r="H54" s="157"/>
      <c r="I54" s="157"/>
      <c r="J54" s="158"/>
    </row>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sheetData>
  <mergeCells count="60">
    <mergeCell ref="A17:D17"/>
    <mergeCell ref="E17:F17"/>
    <mergeCell ref="G17:H17"/>
    <mergeCell ref="I17:J17"/>
    <mergeCell ref="A18:D18"/>
    <mergeCell ref="E18:F18"/>
    <mergeCell ref="G18:H18"/>
    <mergeCell ref="I18:J18"/>
    <mergeCell ref="A19:J19"/>
    <mergeCell ref="A20:J20"/>
    <mergeCell ref="A21:J21"/>
    <mergeCell ref="A22:J22"/>
    <mergeCell ref="A23:J54"/>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2:D12"/>
    <mergeCell ref="E12:F12"/>
    <mergeCell ref="G12:H12"/>
    <mergeCell ref="I12:J12"/>
    <mergeCell ref="A9:D9"/>
    <mergeCell ref="E9:F9"/>
    <mergeCell ref="G9:H9"/>
    <mergeCell ref="I9:J9"/>
    <mergeCell ref="A10:D10"/>
    <mergeCell ref="E10:F10"/>
    <mergeCell ref="G10:H10"/>
    <mergeCell ref="I10:J10"/>
    <mergeCell ref="A8:D8"/>
    <mergeCell ref="E8:F8"/>
    <mergeCell ref="G8:H8"/>
    <mergeCell ref="I8:J8"/>
    <mergeCell ref="A11:D11"/>
    <mergeCell ref="E11:F11"/>
    <mergeCell ref="G11:H11"/>
    <mergeCell ref="I11:J11"/>
    <mergeCell ref="A6:D6"/>
    <mergeCell ref="E6:J6"/>
    <mergeCell ref="E7:F7"/>
    <mergeCell ref="G7:H7"/>
    <mergeCell ref="I7:J7"/>
    <mergeCell ref="A1:G1"/>
    <mergeCell ref="H1:J1"/>
    <mergeCell ref="A3:J3"/>
    <mergeCell ref="A4:D4"/>
    <mergeCell ref="E4:J5"/>
    <mergeCell ref="A5:D5"/>
  </mergeCells>
  <dataValidations count="4">
    <dataValidation type="decimal" allowBlank="1" showInputMessage="1" showErrorMessage="1" prompt="Must enter amount in whole dollars." sqref="E8:E13 G8:G13 I8:I13 E15:E17" xr:uid="{EEEB1327-A9E7-4AB6-A3A0-5592F3691D9F}">
      <formula1>0</formula1>
      <formula2>50000000</formula2>
    </dataValidation>
    <dataValidation type="list" allowBlank="1" showInputMessage="1" showErrorMessage="1" prompt="Please select from the drop down list." sqref="E6" xr:uid="{70DA929F-B72B-4F96-9FE3-DF9113F1343E}">
      <formula1>Expenditures</formula1>
    </dataValidation>
    <dataValidation type="custom" allowBlank="1" showInputMessage="1" showErrorMessage="1" prompt="Leave Blank or Describe Other Expenditure. " sqref="A15:A17" xr:uid="{8F5BDEDA-3AED-4656-9402-D2F3948C0658}">
      <formula1>AND(GTE(LEN(A15),MIN((1),(35))),LTE(LEN(A15),MAX((1),(35))))</formula1>
    </dataValidation>
    <dataValidation type="decimal" allowBlank="1" showInputMessage="1" showErrorMessage="1" prompt="Leave blank or enter amount in whole dollars." sqref="G15:G17 I15:I17" xr:uid="{6FFE6A1B-D749-4E68-8A29-1D33A98FF618}">
      <formula1>0</formula1>
      <formula2>50000000</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C031C-A2FC-4EE3-A28D-F83FB58302C9}">
  <dimension ref="A1:J239"/>
  <sheetViews>
    <sheetView topLeftCell="A8" workbookViewId="0">
      <selection activeCell="A23" sqref="A23:J54"/>
    </sheetView>
  </sheetViews>
  <sheetFormatPr defaultColWidth="12.5703125" defaultRowHeight="15" customHeight="1"/>
  <cols>
    <col min="1" max="26" width="8.85546875" customWidth="1"/>
  </cols>
  <sheetData>
    <row r="1" spans="1:10" ht="12.75" customHeight="1">
      <c r="A1" s="210" t="s">
        <v>65</v>
      </c>
      <c r="B1" s="167"/>
      <c r="C1" s="167"/>
      <c r="D1" s="167"/>
      <c r="E1" s="167"/>
      <c r="F1" s="167"/>
      <c r="G1" s="189"/>
      <c r="H1" s="211" t="str">
        <f>'CONTACT INFORMATION'!$A$24</f>
        <v>Yolo</v>
      </c>
      <c r="I1" s="167"/>
      <c r="J1" s="168"/>
    </row>
    <row r="2" spans="1:10" ht="12.75" customHeight="1">
      <c r="A2" s="114"/>
      <c r="B2" s="114"/>
      <c r="C2" s="114"/>
      <c r="D2" s="114"/>
      <c r="E2" s="114"/>
      <c r="F2" s="114"/>
      <c r="G2" s="114"/>
      <c r="H2" s="114"/>
      <c r="I2" s="114"/>
      <c r="J2" s="114"/>
    </row>
    <row r="3" spans="1:10" ht="12.75" customHeight="1">
      <c r="A3" s="256" t="s">
        <v>162</v>
      </c>
      <c r="B3" s="167"/>
      <c r="C3" s="167"/>
      <c r="D3" s="167"/>
      <c r="E3" s="167"/>
      <c r="F3" s="167"/>
      <c r="G3" s="167"/>
      <c r="H3" s="167"/>
      <c r="I3" s="167"/>
      <c r="J3" s="168"/>
    </row>
    <row r="4" spans="1:10" ht="12.75" customHeight="1">
      <c r="A4" s="257" t="s">
        <v>140</v>
      </c>
      <c r="B4" s="145"/>
      <c r="C4" s="145"/>
      <c r="D4" s="146"/>
      <c r="E4" s="258"/>
      <c r="F4" s="171"/>
      <c r="G4" s="171"/>
      <c r="H4" s="171"/>
      <c r="I4" s="171"/>
      <c r="J4" s="172"/>
    </row>
    <row r="5" spans="1:10" ht="12.75" customHeight="1">
      <c r="A5" s="259" t="s">
        <v>156</v>
      </c>
      <c r="B5" s="260"/>
      <c r="C5" s="260"/>
      <c r="D5" s="261"/>
      <c r="E5" s="170"/>
      <c r="F5" s="157"/>
      <c r="G5" s="157"/>
      <c r="H5" s="157"/>
      <c r="I5" s="157"/>
      <c r="J5" s="158"/>
    </row>
    <row r="6" spans="1:10" ht="12.75" customHeight="1">
      <c r="A6" s="253" t="s">
        <v>157</v>
      </c>
      <c r="B6" s="167"/>
      <c r="C6" s="167"/>
      <c r="D6" s="168"/>
      <c r="E6" s="193" t="s">
        <v>86</v>
      </c>
      <c r="F6" s="167"/>
      <c r="G6" s="167"/>
      <c r="H6" s="167"/>
      <c r="I6" s="167"/>
      <c r="J6" s="168"/>
    </row>
    <row r="7" spans="1:10" ht="12.75" customHeight="1">
      <c r="A7" s="115"/>
      <c r="B7" s="113"/>
      <c r="C7" s="113"/>
      <c r="D7" s="113"/>
      <c r="E7" s="254" t="s">
        <v>141</v>
      </c>
      <c r="F7" s="157"/>
      <c r="G7" s="254" t="s">
        <v>142</v>
      </c>
      <c r="H7" s="157"/>
      <c r="I7" s="255" t="s">
        <v>143</v>
      </c>
      <c r="J7" s="158"/>
    </row>
    <row r="8" spans="1:10" ht="12.75" customHeight="1">
      <c r="A8" s="197" t="s">
        <v>144</v>
      </c>
      <c r="B8" s="167"/>
      <c r="C8" s="167"/>
      <c r="D8" s="168"/>
      <c r="E8" s="266"/>
      <c r="F8" s="168"/>
      <c r="G8" s="266"/>
      <c r="H8" s="168"/>
      <c r="I8" s="267"/>
      <c r="J8" s="168"/>
    </row>
    <row r="9" spans="1:10" ht="12.75" customHeight="1">
      <c r="A9" s="262" t="s">
        <v>145</v>
      </c>
      <c r="B9" s="167"/>
      <c r="C9" s="167"/>
      <c r="D9" s="168"/>
      <c r="E9" s="263"/>
      <c r="F9" s="168"/>
      <c r="G9" s="264"/>
      <c r="H9" s="168"/>
      <c r="I9" s="265"/>
      <c r="J9" s="168"/>
    </row>
    <row r="10" spans="1:10" ht="12.75" customHeight="1">
      <c r="A10" s="197" t="s">
        <v>146</v>
      </c>
      <c r="B10" s="167"/>
      <c r="C10" s="167"/>
      <c r="D10" s="168"/>
      <c r="E10" s="266"/>
      <c r="F10" s="168"/>
      <c r="G10" s="266">
        <v>1237</v>
      </c>
      <c r="H10" s="168"/>
      <c r="I10" s="267"/>
      <c r="J10" s="168"/>
    </row>
    <row r="11" spans="1:10" ht="12.75" customHeight="1">
      <c r="A11" s="262" t="s">
        <v>147</v>
      </c>
      <c r="B11" s="167"/>
      <c r="C11" s="167"/>
      <c r="D11" s="168"/>
      <c r="E11" s="263">
        <v>165932</v>
      </c>
      <c r="F11" s="168"/>
      <c r="G11" s="264">
        <v>23924</v>
      </c>
      <c r="H11" s="168"/>
      <c r="I11" s="265"/>
      <c r="J11" s="168"/>
    </row>
    <row r="12" spans="1:10" ht="12.75" customHeight="1">
      <c r="A12" s="197" t="s">
        <v>148</v>
      </c>
      <c r="B12" s="167"/>
      <c r="C12" s="167"/>
      <c r="D12" s="168"/>
      <c r="E12" s="266"/>
      <c r="F12" s="168"/>
      <c r="G12" s="266"/>
      <c r="H12" s="168"/>
      <c r="I12" s="267"/>
      <c r="J12" s="168"/>
    </row>
    <row r="13" spans="1:10" ht="12.75" customHeight="1">
      <c r="A13" s="262" t="s">
        <v>149</v>
      </c>
      <c r="B13" s="167"/>
      <c r="C13" s="167"/>
      <c r="D13" s="168"/>
      <c r="E13" s="263"/>
      <c r="F13" s="168"/>
      <c r="G13" s="264"/>
      <c r="H13" s="168"/>
      <c r="I13" s="265"/>
      <c r="J13" s="168"/>
    </row>
    <row r="14" spans="1:10" ht="12.75" customHeight="1">
      <c r="A14" s="197" t="s">
        <v>150</v>
      </c>
      <c r="B14" s="167"/>
      <c r="C14" s="167"/>
      <c r="D14" s="168"/>
      <c r="E14" s="270"/>
      <c r="F14" s="168"/>
      <c r="G14" s="270"/>
      <c r="H14" s="168"/>
      <c r="I14" s="269"/>
      <c r="J14" s="168"/>
    </row>
    <row r="15" spans="1:10" ht="12.75" customHeight="1">
      <c r="A15" s="272"/>
      <c r="B15" s="167"/>
      <c r="C15" s="167"/>
      <c r="D15" s="168"/>
      <c r="E15" s="263"/>
      <c r="F15" s="168"/>
      <c r="G15" s="264"/>
      <c r="H15" s="168"/>
      <c r="I15" s="264"/>
      <c r="J15" s="168"/>
    </row>
    <row r="16" spans="1:10" ht="12.75" customHeight="1">
      <c r="A16" s="272"/>
      <c r="B16" s="167"/>
      <c r="C16" s="167"/>
      <c r="D16" s="168"/>
      <c r="E16" s="263"/>
      <c r="F16" s="168"/>
      <c r="G16" s="264"/>
      <c r="H16" s="168"/>
      <c r="I16" s="264"/>
      <c r="J16" s="168"/>
    </row>
    <row r="17" spans="1:10" ht="12.75" customHeight="1">
      <c r="A17" s="272"/>
      <c r="B17" s="167"/>
      <c r="C17" s="167"/>
      <c r="D17" s="168"/>
      <c r="E17" s="263"/>
      <c r="F17" s="168"/>
      <c r="G17" s="264"/>
      <c r="H17" s="168"/>
      <c r="I17" s="264"/>
      <c r="J17" s="168"/>
    </row>
    <row r="18" spans="1:10" ht="12.75" customHeight="1">
      <c r="A18" s="201" t="s">
        <v>151</v>
      </c>
      <c r="B18" s="167"/>
      <c r="C18" s="167"/>
      <c r="D18" s="168"/>
      <c r="E18" s="273">
        <f>SUM(E8:E17)</f>
        <v>165932</v>
      </c>
      <c r="F18" s="168"/>
      <c r="G18" s="273">
        <f>SUM(G8:G17)</f>
        <v>25161</v>
      </c>
      <c r="H18" s="168"/>
      <c r="I18" s="273">
        <f>SUM(I8:I17)</f>
        <v>0</v>
      </c>
      <c r="J18" s="168"/>
    </row>
    <row r="19" spans="1:10" ht="12.75" customHeight="1">
      <c r="A19" s="274" t="s">
        <v>152</v>
      </c>
      <c r="B19" s="145"/>
      <c r="C19" s="145"/>
      <c r="D19" s="145"/>
      <c r="E19" s="145"/>
      <c r="F19" s="145"/>
      <c r="G19" s="145"/>
      <c r="H19" s="145"/>
      <c r="I19" s="145"/>
      <c r="J19" s="146"/>
    </row>
    <row r="20" spans="1:10" ht="12.75" customHeight="1">
      <c r="A20" s="268" t="s">
        <v>153</v>
      </c>
      <c r="B20" s="161"/>
      <c r="C20" s="161"/>
      <c r="D20" s="161"/>
      <c r="E20" s="161"/>
      <c r="F20" s="161"/>
      <c r="G20" s="161"/>
      <c r="H20" s="161"/>
      <c r="I20" s="161"/>
      <c r="J20" s="162"/>
    </row>
    <row r="21" spans="1:10" ht="12.75" customHeight="1">
      <c r="A21" s="268" t="s">
        <v>154</v>
      </c>
      <c r="B21" s="161"/>
      <c r="C21" s="161"/>
      <c r="D21" s="161"/>
      <c r="E21" s="161"/>
      <c r="F21" s="161"/>
      <c r="G21" s="161"/>
      <c r="H21" s="161"/>
      <c r="I21" s="161"/>
      <c r="J21" s="162"/>
    </row>
    <row r="22" spans="1:10" ht="12.75" customHeight="1">
      <c r="A22" s="271" t="s">
        <v>155</v>
      </c>
      <c r="B22" s="260"/>
      <c r="C22" s="260"/>
      <c r="D22" s="260"/>
      <c r="E22" s="260"/>
      <c r="F22" s="260"/>
      <c r="G22" s="260"/>
      <c r="H22" s="260"/>
      <c r="I22" s="260"/>
      <c r="J22" s="261"/>
    </row>
    <row r="23" spans="1:10" ht="12.75" customHeight="1">
      <c r="A23" s="177" t="s">
        <v>919</v>
      </c>
      <c r="B23" s="171"/>
      <c r="C23" s="171"/>
      <c r="D23" s="171"/>
      <c r="E23" s="171"/>
      <c r="F23" s="171"/>
      <c r="G23" s="171"/>
      <c r="H23" s="171"/>
      <c r="I23" s="171"/>
      <c r="J23" s="172"/>
    </row>
    <row r="24" spans="1:10" ht="12.75" customHeight="1">
      <c r="A24" s="152"/>
      <c r="B24" s="150"/>
      <c r="C24" s="150"/>
      <c r="D24" s="150"/>
      <c r="E24" s="150"/>
      <c r="F24" s="150"/>
      <c r="G24" s="150"/>
      <c r="H24" s="150"/>
      <c r="I24" s="150"/>
      <c r="J24" s="151"/>
    </row>
    <row r="25" spans="1:10" ht="12.75" customHeight="1">
      <c r="A25" s="152"/>
      <c r="B25" s="150"/>
      <c r="C25" s="150"/>
      <c r="D25" s="150"/>
      <c r="E25" s="150"/>
      <c r="F25" s="150"/>
      <c r="G25" s="150"/>
      <c r="H25" s="150"/>
      <c r="I25" s="150"/>
      <c r="J25" s="151"/>
    </row>
    <row r="26" spans="1:10" ht="12.75" customHeight="1">
      <c r="A26" s="152"/>
      <c r="B26" s="150"/>
      <c r="C26" s="150"/>
      <c r="D26" s="150"/>
      <c r="E26" s="150"/>
      <c r="F26" s="150"/>
      <c r="G26" s="150"/>
      <c r="H26" s="150"/>
      <c r="I26" s="150"/>
      <c r="J26" s="151"/>
    </row>
    <row r="27" spans="1:10" ht="12.75" customHeight="1">
      <c r="A27" s="152"/>
      <c r="B27" s="150"/>
      <c r="C27" s="150"/>
      <c r="D27" s="150"/>
      <c r="E27" s="150"/>
      <c r="F27" s="150"/>
      <c r="G27" s="150"/>
      <c r="H27" s="150"/>
      <c r="I27" s="150"/>
      <c r="J27" s="151"/>
    </row>
    <row r="28" spans="1:10" ht="12.75" customHeight="1">
      <c r="A28" s="152"/>
      <c r="B28" s="150"/>
      <c r="C28" s="150"/>
      <c r="D28" s="150"/>
      <c r="E28" s="150"/>
      <c r="F28" s="150"/>
      <c r="G28" s="150"/>
      <c r="H28" s="150"/>
      <c r="I28" s="150"/>
      <c r="J28" s="151"/>
    </row>
    <row r="29" spans="1:10" ht="12.75" customHeight="1">
      <c r="A29" s="152"/>
      <c r="B29" s="150"/>
      <c r="C29" s="150"/>
      <c r="D29" s="150"/>
      <c r="E29" s="150"/>
      <c r="F29" s="150"/>
      <c r="G29" s="150"/>
      <c r="H29" s="150"/>
      <c r="I29" s="150"/>
      <c r="J29" s="151"/>
    </row>
    <row r="30" spans="1:10" ht="12.75" customHeight="1">
      <c r="A30" s="152"/>
      <c r="B30" s="150"/>
      <c r="C30" s="150"/>
      <c r="D30" s="150"/>
      <c r="E30" s="150"/>
      <c r="F30" s="150"/>
      <c r="G30" s="150"/>
      <c r="H30" s="150"/>
      <c r="I30" s="150"/>
      <c r="J30" s="151"/>
    </row>
    <row r="31" spans="1:10" ht="12.75" customHeight="1">
      <c r="A31" s="152"/>
      <c r="B31" s="150"/>
      <c r="C31" s="150"/>
      <c r="D31" s="150"/>
      <c r="E31" s="150"/>
      <c r="F31" s="150"/>
      <c r="G31" s="150"/>
      <c r="H31" s="150"/>
      <c r="I31" s="150"/>
      <c r="J31" s="151"/>
    </row>
    <row r="32" spans="1:10" ht="12.75" customHeight="1">
      <c r="A32" s="152"/>
      <c r="B32" s="150"/>
      <c r="C32" s="150"/>
      <c r="D32" s="150"/>
      <c r="E32" s="150"/>
      <c r="F32" s="150"/>
      <c r="G32" s="150"/>
      <c r="H32" s="150"/>
      <c r="I32" s="150"/>
      <c r="J32" s="151"/>
    </row>
    <row r="33" spans="1:10" ht="12.75" customHeight="1">
      <c r="A33" s="152"/>
      <c r="B33" s="150"/>
      <c r="C33" s="150"/>
      <c r="D33" s="150"/>
      <c r="E33" s="150"/>
      <c r="F33" s="150"/>
      <c r="G33" s="150"/>
      <c r="H33" s="150"/>
      <c r="I33" s="150"/>
      <c r="J33" s="151"/>
    </row>
    <row r="34" spans="1:10" ht="12.75" customHeight="1">
      <c r="A34" s="152"/>
      <c r="B34" s="150"/>
      <c r="C34" s="150"/>
      <c r="D34" s="150"/>
      <c r="E34" s="150"/>
      <c r="F34" s="150"/>
      <c r="G34" s="150"/>
      <c r="H34" s="150"/>
      <c r="I34" s="150"/>
      <c r="J34" s="151"/>
    </row>
    <row r="35" spans="1:10" ht="12.75" customHeight="1">
      <c r="A35" s="152"/>
      <c r="B35" s="150"/>
      <c r="C35" s="150"/>
      <c r="D35" s="150"/>
      <c r="E35" s="150"/>
      <c r="F35" s="150"/>
      <c r="G35" s="150"/>
      <c r="H35" s="150"/>
      <c r="I35" s="150"/>
      <c r="J35" s="151"/>
    </row>
    <row r="36" spans="1:10" ht="12.75" customHeight="1">
      <c r="A36" s="152"/>
      <c r="B36" s="150"/>
      <c r="C36" s="150"/>
      <c r="D36" s="150"/>
      <c r="E36" s="150"/>
      <c r="F36" s="150"/>
      <c r="G36" s="150"/>
      <c r="H36" s="150"/>
      <c r="I36" s="150"/>
      <c r="J36" s="151"/>
    </row>
    <row r="37" spans="1:10" ht="12.75" customHeight="1">
      <c r="A37" s="152"/>
      <c r="B37" s="150"/>
      <c r="C37" s="150"/>
      <c r="D37" s="150"/>
      <c r="E37" s="150"/>
      <c r="F37" s="150"/>
      <c r="G37" s="150"/>
      <c r="H37" s="150"/>
      <c r="I37" s="150"/>
      <c r="J37" s="151"/>
    </row>
    <row r="38" spans="1:10" ht="12.75" customHeight="1">
      <c r="A38" s="152"/>
      <c r="B38" s="150"/>
      <c r="C38" s="150"/>
      <c r="D38" s="150"/>
      <c r="E38" s="150"/>
      <c r="F38" s="150"/>
      <c r="G38" s="150"/>
      <c r="H38" s="150"/>
      <c r="I38" s="150"/>
      <c r="J38" s="151"/>
    </row>
    <row r="39" spans="1:10" ht="12.75" customHeight="1">
      <c r="A39" s="152"/>
      <c r="B39" s="150"/>
      <c r="C39" s="150"/>
      <c r="D39" s="150"/>
      <c r="E39" s="150"/>
      <c r="F39" s="150"/>
      <c r="G39" s="150"/>
      <c r="H39" s="150"/>
      <c r="I39" s="150"/>
      <c r="J39" s="151"/>
    </row>
    <row r="40" spans="1:10" ht="12.75" customHeight="1">
      <c r="A40" s="152"/>
      <c r="B40" s="150"/>
      <c r="C40" s="150"/>
      <c r="D40" s="150"/>
      <c r="E40" s="150"/>
      <c r="F40" s="150"/>
      <c r="G40" s="150"/>
      <c r="H40" s="150"/>
      <c r="I40" s="150"/>
      <c r="J40" s="151"/>
    </row>
    <row r="41" spans="1:10" ht="12.75" customHeight="1">
      <c r="A41" s="152"/>
      <c r="B41" s="150"/>
      <c r="C41" s="150"/>
      <c r="D41" s="150"/>
      <c r="E41" s="150"/>
      <c r="F41" s="150"/>
      <c r="G41" s="150"/>
      <c r="H41" s="150"/>
      <c r="I41" s="150"/>
      <c r="J41" s="151"/>
    </row>
    <row r="42" spans="1:10" ht="12.75" customHeight="1">
      <c r="A42" s="152"/>
      <c r="B42" s="150"/>
      <c r="C42" s="150"/>
      <c r="D42" s="150"/>
      <c r="E42" s="150"/>
      <c r="F42" s="150"/>
      <c r="G42" s="150"/>
      <c r="H42" s="150"/>
      <c r="I42" s="150"/>
      <c r="J42" s="151"/>
    </row>
    <row r="43" spans="1:10" ht="12.75" customHeight="1">
      <c r="A43" s="152"/>
      <c r="B43" s="150"/>
      <c r="C43" s="150"/>
      <c r="D43" s="150"/>
      <c r="E43" s="150"/>
      <c r="F43" s="150"/>
      <c r="G43" s="150"/>
      <c r="H43" s="150"/>
      <c r="I43" s="150"/>
      <c r="J43" s="151"/>
    </row>
    <row r="44" spans="1:10" ht="12.75" customHeight="1">
      <c r="A44" s="152"/>
      <c r="B44" s="150"/>
      <c r="C44" s="150"/>
      <c r="D44" s="150"/>
      <c r="E44" s="150"/>
      <c r="F44" s="150"/>
      <c r="G44" s="150"/>
      <c r="H44" s="150"/>
      <c r="I44" s="150"/>
      <c r="J44" s="151"/>
    </row>
    <row r="45" spans="1:10" ht="12.75" customHeight="1">
      <c r="A45" s="152"/>
      <c r="B45" s="150"/>
      <c r="C45" s="150"/>
      <c r="D45" s="150"/>
      <c r="E45" s="150"/>
      <c r="F45" s="150"/>
      <c r="G45" s="150"/>
      <c r="H45" s="150"/>
      <c r="I45" s="150"/>
      <c r="J45" s="151"/>
    </row>
    <row r="46" spans="1:10" ht="12.75" customHeight="1">
      <c r="A46" s="152"/>
      <c r="B46" s="150"/>
      <c r="C46" s="150"/>
      <c r="D46" s="150"/>
      <c r="E46" s="150"/>
      <c r="F46" s="150"/>
      <c r="G46" s="150"/>
      <c r="H46" s="150"/>
      <c r="I46" s="150"/>
      <c r="J46" s="151"/>
    </row>
    <row r="47" spans="1:10" ht="12.75" customHeight="1">
      <c r="A47" s="152"/>
      <c r="B47" s="150"/>
      <c r="C47" s="150"/>
      <c r="D47" s="150"/>
      <c r="E47" s="150"/>
      <c r="F47" s="150"/>
      <c r="G47" s="150"/>
      <c r="H47" s="150"/>
      <c r="I47" s="150"/>
      <c r="J47" s="151"/>
    </row>
    <row r="48" spans="1:10" ht="12.75" customHeight="1">
      <c r="A48" s="152"/>
      <c r="B48" s="150"/>
      <c r="C48" s="150"/>
      <c r="D48" s="150"/>
      <c r="E48" s="150"/>
      <c r="F48" s="150"/>
      <c r="G48" s="150"/>
      <c r="H48" s="150"/>
      <c r="I48" s="150"/>
      <c r="J48" s="151"/>
    </row>
    <row r="49" spans="1:10" ht="12.75" customHeight="1">
      <c r="A49" s="152"/>
      <c r="B49" s="150"/>
      <c r="C49" s="150"/>
      <c r="D49" s="150"/>
      <c r="E49" s="150"/>
      <c r="F49" s="150"/>
      <c r="G49" s="150"/>
      <c r="H49" s="150"/>
      <c r="I49" s="150"/>
      <c r="J49" s="151"/>
    </row>
    <row r="50" spans="1:10" ht="12.75" customHeight="1">
      <c r="A50" s="152"/>
      <c r="B50" s="150"/>
      <c r="C50" s="150"/>
      <c r="D50" s="150"/>
      <c r="E50" s="150"/>
      <c r="F50" s="150"/>
      <c r="G50" s="150"/>
      <c r="H50" s="150"/>
      <c r="I50" s="150"/>
      <c r="J50" s="151"/>
    </row>
    <row r="51" spans="1:10" ht="12.75" customHeight="1">
      <c r="A51" s="152"/>
      <c r="B51" s="150"/>
      <c r="C51" s="150"/>
      <c r="D51" s="150"/>
      <c r="E51" s="150"/>
      <c r="F51" s="150"/>
      <c r="G51" s="150"/>
      <c r="H51" s="150"/>
      <c r="I51" s="150"/>
      <c r="J51" s="151"/>
    </row>
    <row r="52" spans="1:10" ht="12.75" customHeight="1">
      <c r="A52" s="152"/>
      <c r="B52" s="150"/>
      <c r="C52" s="150"/>
      <c r="D52" s="150"/>
      <c r="E52" s="150"/>
      <c r="F52" s="150"/>
      <c r="G52" s="150"/>
      <c r="H52" s="150"/>
      <c r="I52" s="150"/>
      <c r="J52" s="151"/>
    </row>
    <row r="53" spans="1:10" ht="12.75" customHeight="1">
      <c r="A53" s="152"/>
      <c r="B53" s="150"/>
      <c r="C53" s="150"/>
      <c r="D53" s="150"/>
      <c r="E53" s="150"/>
      <c r="F53" s="150"/>
      <c r="G53" s="150"/>
      <c r="H53" s="150"/>
      <c r="I53" s="150"/>
      <c r="J53" s="151"/>
    </row>
    <row r="54" spans="1:10" ht="12.75" customHeight="1">
      <c r="A54" s="170"/>
      <c r="B54" s="157"/>
      <c r="C54" s="157"/>
      <c r="D54" s="157"/>
      <c r="E54" s="157"/>
      <c r="F54" s="157"/>
      <c r="G54" s="157"/>
      <c r="H54" s="157"/>
      <c r="I54" s="157"/>
      <c r="J54" s="158"/>
    </row>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sheetData>
  <mergeCells count="60">
    <mergeCell ref="A17:D17"/>
    <mergeCell ref="E17:F17"/>
    <mergeCell ref="G17:H17"/>
    <mergeCell ref="I17:J17"/>
    <mergeCell ref="A18:D18"/>
    <mergeCell ref="E18:F18"/>
    <mergeCell ref="G18:H18"/>
    <mergeCell ref="I18:J18"/>
    <mergeCell ref="A19:J19"/>
    <mergeCell ref="A20:J20"/>
    <mergeCell ref="A21:J21"/>
    <mergeCell ref="A22:J22"/>
    <mergeCell ref="A23:J54"/>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2:D12"/>
    <mergeCell ref="E12:F12"/>
    <mergeCell ref="G12:H12"/>
    <mergeCell ref="I12:J12"/>
    <mergeCell ref="A9:D9"/>
    <mergeCell ref="E9:F9"/>
    <mergeCell ref="G9:H9"/>
    <mergeCell ref="I9:J9"/>
    <mergeCell ref="A10:D10"/>
    <mergeCell ref="E10:F10"/>
    <mergeCell ref="G10:H10"/>
    <mergeCell ref="I10:J10"/>
    <mergeCell ref="A8:D8"/>
    <mergeCell ref="E8:F8"/>
    <mergeCell ref="G8:H8"/>
    <mergeCell ref="I8:J8"/>
    <mergeCell ref="A11:D11"/>
    <mergeCell ref="E11:F11"/>
    <mergeCell ref="G11:H11"/>
    <mergeCell ref="I11:J11"/>
    <mergeCell ref="A6:D6"/>
    <mergeCell ref="E6:J6"/>
    <mergeCell ref="E7:F7"/>
    <mergeCell ref="G7:H7"/>
    <mergeCell ref="I7:J7"/>
    <mergeCell ref="A1:G1"/>
    <mergeCell ref="H1:J1"/>
    <mergeCell ref="A3:J3"/>
    <mergeCell ref="A4:D4"/>
    <mergeCell ref="E4:J5"/>
    <mergeCell ref="A5:D5"/>
  </mergeCells>
  <dataValidations count="4">
    <dataValidation type="decimal" allowBlank="1" showInputMessage="1" showErrorMessage="1" prompt="Must enter amount in whole dollars." sqref="E8:E13 G8:G13 I8:I13 E15:E17" xr:uid="{14C13812-DA29-4D2A-9B5B-D8DA67D9A52A}">
      <formula1>0</formula1>
      <formula2>50000000</formula2>
    </dataValidation>
    <dataValidation type="list" allowBlank="1" showInputMessage="1" showErrorMessage="1" prompt="Please select from the drop down list." sqref="E6" xr:uid="{30E4E00D-9D1F-45E4-826E-F73CFA88F678}">
      <formula1>Expenditures</formula1>
    </dataValidation>
    <dataValidation type="custom" allowBlank="1" showInputMessage="1" showErrorMessage="1" prompt="Leave Blank or Describe Other Expenditure. " sqref="A15:A17" xr:uid="{C8D89E56-D1B0-4B11-9F38-8ACA4F844C67}">
      <formula1>AND(GTE(LEN(A15),MIN((1),(35))),LTE(LEN(A15),MAX((1),(35))))</formula1>
    </dataValidation>
    <dataValidation type="decimal" allowBlank="1" showInputMessage="1" showErrorMessage="1" prompt="Leave blank or enter amount in whole dollars." sqref="G15:G17 I15:I17" xr:uid="{672F3B9B-0674-4FCC-9EAA-358455B74BA1}">
      <formula1>0</formula1>
      <formula2>50000000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A61F8-0858-45EF-A3A2-316112758171}">
  <dimension ref="A1:J239"/>
  <sheetViews>
    <sheetView topLeftCell="A15" workbookViewId="0">
      <selection activeCell="A23" sqref="A23:J54"/>
    </sheetView>
  </sheetViews>
  <sheetFormatPr defaultColWidth="12.5703125" defaultRowHeight="15" customHeight="1"/>
  <cols>
    <col min="1" max="26" width="8.85546875" customWidth="1"/>
  </cols>
  <sheetData>
    <row r="1" spans="1:10" ht="12.75" customHeight="1">
      <c r="A1" s="210" t="s">
        <v>65</v>
      </c>
      <c r="B1" s="167"/>
      <c r="C1" s="167"/>
      <c r="D1" s="167"/>
      <c r="E1" s="167"/>
      <c r="F1" s="167"/>
      <c r="G1" s="189"/>
      <c r="H1" s="211" t="str">
        <f>'CONTACT INFORMATION'!$A$24</f>
        <v>Yolo</v>
      </c>
      <c r="I1" s="167"/>
      <c r="J1" s="168"/>
    </row>
    <row r="2" spans="1:10" ht="12.75" customHeight="1">
      <c r="A2" s="114"/>
      <c r="B2" s="114"/>
      <c r="C2" s="114"/>
      <c r="D2" s="114"/>
      <c r="E2" s="114"/>
      <c r="F2" s="114"/>
      <c r="G2" s="114"/>
      <c r="H2" s="114"/>
      <c r="I2" s="114"/>
      <c r="J2" s="114"/>
    </row>
    <row r="3" spans="1:10" ht="12.75" customHeight="1">
      <c r="A3" s="256" t="s">
        <v>163</v>
      </c>
      <c r="B3" s="167"/>
      <c r="C3" s="167"/>
      <c r="D3" s="167"/>
      <c r="E3" s="167"/>
      <c r="F3" s="167"/>
      <c r="G3" s="167"/>
      <c r="H3" s="167"/>
      <c r="I3" s="167"/>
      <c r="J3" s="168"/>
    </row>
    <row r="4" spans="1:10" ht="12.75" customHeight="1">
      <c r="A4" s="257" t="s">
        <v>140</v>
      </c>
      <c r="B4" s="145"/>
      <c r="C4" s="145"/>
      <c r="D4" s="146"/>
      <c r="E4" s="258"/>
      <c r="F4" s="171"/>
      <c r="G4" s="171"/>
      <c r="H4" s="171"/>
      <c r="I4" s="171"/>
      <c r="J4" s="172"/>
    </row>
    <row r="5" spans="1:10" ht="12.75" customHeight="1">
      <c r="A5" s="259" t="s">
        <v>156</v>
      </c>
      <c r="B5" s="260"/>
      <c r="C5" s="260"/>
      <c r="D5" s="261"/>
      <c r="E5" s="170"/>
      <c r="F5" s="157"/>
      <c r="G5" s="157"/>
      <c r="H5" s="157"/>
      <c r="I5" s="157"/>
      <c r="J5" s="158"/>
    </row>
    <row r="6" spans="1:10" ht="12.75" customHeight="1">
      <c r="A6" s="253" t="s">
        <v>157</v>
      </c>
      <c r="B6" s="167"/>
      <c r="C6" s="167"/>
      <c r="D6" s="168"/>
      <c r="E6" s="193" t="s">
        <v>90</v>
      </c>
      <c r="F6" s="167"/>
      <c r="G6" s="167"/>
      <c r="H6" s="167"/>
      <c r="I6" s="167"/>
      <c r="J6" s="168"/>
    </row>
    <row r="7" spans="1:10" ht="12.75" customHeight="1">
      <c r="A7" s="115"/>
      <c r="B7" s="113"/>
      <c r="C7" s="113"/>
      <c r="D7" s="113"/>
      <c r="E7" s="254" t="s">
        <v>141</v>
      </c>
      <c r="F7" s="157"/>
      <c r="G7" s="254" t="s">
        <v>142</v>
      </c>
      <c r="H7" s="157"/>
      <c r="I7" s="255" t="s">
        <v>143</v>
      </c>
      <c r="J7" s="158"/>
    </row>
    <row r="8" spans="1:10" ht="12.75" customHeight="1">
      <c r="A8" s="197" t="s">
        <v>144</v>
      </c>
      <c r="B8" s="167"/>
      <c r="C8" s="167"/>
      <c r="D8" s="168"/>
      <c r="E8" s="266"/>
      <c r="F8" s="168"/>
      <c r="G8" s="266">
        <v>165871</v>
      </c>
      <c r="H8" s="168"/>
      <c r="I8" s="267"/>
      <c r="J8" s="168"/>
    </row>
    <row r="9" spans="1:10" ht="12.75" customHeight="1">
      <c r="A9" s="262" t="s">
        <v>145</v>
      </c>
      <c r="B9" s="167"/>
      <c r="C9" s="167"/>
      <c r="D9" s="168"/>
      <c r="E9" s="263"/>
      <c r="F9" s="168"/>
      <c r="G9" s="264"/>
      <c r="H9" s="168"/>
      <c r="I9" s="265"/>
      <c r="J9" s="168"/>
    </row>
    <row r="10" spans="1:10" ht="12.75" customHeight="1">
      <c r="A10" s="197" t="s">
        <v>146</v>
      </c>
      <c r="B10" s="167"/>
      <c r="C10" s="167"/>
      <c r="D10" s="168"/>
      <c r="E10" s="266"/>
      <c r="F10" s="168"/>
      <c r="G10" s="266"/>
      <c r="H10" s="168"/>
      <c r="I10" s="267"/>
      <c r="J10" s="168"/>
    </row>
    <row r="11" spans="1:10" ht="12.75" customHeight="1">
      <c r="A11" s="262" t="s">
        <v>147</v>
      </c>
      <c r="B11" s="167"/>
      <c r="C11" s="167"/>
      <c r="D11" s="168"/>
      <c r="E11" s="263">
        <v>35200</v>
      </c>
      <c r="F11" s="168"/>
      <c r="G11" s="264"/>
      <c r="H11" s="168"/>
      <c r="I11" s="265"/>
      <c r="J11" s="168"/>
    </row>
    <row r="12" spans="1:10" ht="12.75" customHeight="1">
      <c r="A12" s="197" t="s">
        <v>148</v>
      </c>
      <c r="B12" s="167"/>
      <c r="C12" s="167"/>
      <c r="D12" s="168"/>
      <c r="E12" s="266"/>
      <c r="F12" s="168"/>
      <c r="G12" s="266"/>
      <c r="H12" s="168"/>
      <c r="I12" s="267"/>
      <c r="J12" s="168"/>
    </row>
    <row r="13" spans="1:10" ht="12.75" customHeight="1">
      <c r="A13" s="262" t="s">
        <v>149</v>
      </c>
      <c r="B13" s="167"/>
      <c r="C13" s="167"/>
      <c r="D13" s="168"/>
      <c r="E13" s="263"/>
      <c r="F13" s="168"/>
      <c r="G13" s="264"/>
      <c r="H13" s="168"/>
      <c r="I13" s="265"/>
      <c r="J13" s="168"/>
    </row>
    <row r="14" spans="1:10" ht="12.75" customHeight="1">
      <c r="A14" s="197" t="s">
        <v>150</v>
      </c>
      <c r="B14" s="167"/>
      <c r="C14" s="167"/>
      <c r="D14" s="168"/>
      <c r="E14" s="270"/>
      <c r="F14" s="168"/>
      <c r="G14" s="270"/>
      <c r="H14" s="168"/>
      <c r="I14" s="269"/>
      <c r="J14" s="168"/>
    </row>
    <row r="15" spans="1:10" ht="12.75" customHeight="1">
      <c r="A15" s="272"/>
      <c r="B15" s="167"/>
      <c r="C15" s="167"/>
      <c r="D15" s="168"/>
      <c r="E15" s="263"/>
      <c r="F15" s="168"/>
      <c r="G15" s="264"/>
      <c r="H15" s="168"/>
      <c r="I15" s="264"/>
      <c r="J15" s="168"/>
    </row>
    <row r="16" spans="1:10" ht="12.75" customHeight="1">
      <c r="A16" s="272"/>
      <c r="B16" s="167"/>
      <c r="C16" s="167"/>
      <c r="D16" s="168"/>
      <c r="E16" s="263"/>
      <c r="F16" s="168"/>
      <c r="G16" s="264"/>
      <c r="H16" s="168"/>
      <c r="I16" s="264"/>
      <c r="J16" s="168"/>
    </row>
    <row r="17" spans="1:10" ht="12.75" customHeight="1">
      <c r="A17" s="272"/>
      <c r="B17" s="167"/>
      <c r="C17" s="167"/>
      <c r="D17" s="168"/>
      <c r="E17" s="263"/>
      <c r="F17" s="168"/>
      <c r="G17" s="264"/>
      <c r="H17" s="168"/>
      <c r="I17" s="264"/>
      <c r="J17" s="168"/>
    </row>
    <row r="18" spans="1:10" ht="12.75" customHeight="1">
      <c r="A18" s="201" t="s">
        <v>151</v>
      </c>
      <c r="B18" s="167"/>
      <c r="C18" s="167"/>
      <c r="D18" s="168"/>
      <c r="E18" s="273">
        <f>SUM(E8:E17)</f>
        <v>35200</v>
      </c>
      <c r="F18" s="168"/>
      <c r="G18" s="273">
        <f>SUM(G8:G17)</f>
        <v>165871</v>
      </c>
      <c r="H18" s="168"/>
      <c r="I18" s="273">
        <f>SUM(I8:I17)</f>
        <v>0</v>
      </c>
      <c r="J18" s="168"/>
    </row>
    <row r="19" spans="1:10" ht="12.75" customHeight="1">
      <c r="A19" s="274" t="s">
        <v>152</v>
      </c>
      <c r="B19" s="145"/>
      <c r="C19" s="145"/>
      <c r="D19" s="145"/>
      <c r="E19" s="145"/>
      <c r="F19" s="145"/>
      <c r="G19" s="145"/>
      <c r="H19" s="145"/>
      <c r="I19" s="145"/>
      <c r="J19" s="146"/>
    </row>
    <row r="20" spans="1:10" ht="12.75" customHeight="1">
      <c r="A20" s="268" t="s">
        <v>153</v>
      </c>
      <c r="B20" s="161"/>
      <c r="C20" s="161"/>
      <c r="D20" s="161"/>
      <c r="E20" s="161"/>
      <c r="F20" s="161"/>
      <c r="G20" s="161"/>
      <c r="H20" s="161"/>
      <c r="I20" s="161"/>
      <c r="J20" s="162"/>
    </row>
    <row r="21" spans="1:10" ht="12.75" customHeight="1">
      <c r="A21" s="268" t="s">
        <v>154</v>
      </c>
      <c r="B21" s="161"/>
      <c r="C21" s="161"/>
      <c r="D21" s="161"/>
      <c r="E21" s="161"/>
      <c r="F21" s="161"/>
      <c r="G21" s="161"/>
      <c r="H21" s="161"/>
      <c r="I21" s="161"/>
      <c r="J21" s="162"/>
    </row>
    <row r="22" spans="1:10" ht="12.75" customHeight="1">
      <c r="A22" s="271" t="s">
        <v>155</v>
      </c>
      <c r="B22" s="260"/>
      <c r="C22" s="260"/>
      <c r="D22" s="260"/>
      <c r="E22" s="260"/>
      <c r="F22" s="260"/>
      <c r="G22" s="260"/>
      <c r="H22" s="260"/>
      <c r="I22" s="260"/>
      <c r="J22" s="261"/>
    </row>
    <row r="23" spans="1:10" ht="12.75" customHeight="1">
      <c r="A23" s="177" t="s">
        <v>920</v>
      </c>
      <c r="B23" s="171"/>
      <c r="C23" s="171"/>
      <c r="D23" s="171"/>
      <c r="E23" s="171"/>
      <c r="F23" s="171"/>
      <c r="G23" s="171"/>
      <c r="H23" s="171"/>
      <c r="I23" s="171"/>
      <c r="J23" s="172"/>
    </row>
    <row r="24" spans="1:10" ht="12.75" customHeight="1">
      <c r="A24" s="152"/>
      <c r="B24" s="150"/>
      <c r="C24" s="150"/>
      <c r="D24" s="150"/>
      <c r="E24" s="150"/>
      <c r="F24" s="150"/>
      <c r="G24" s="150"/>
      <c r="H24" s="150"/>
      <c r="I24" s="150"/>
      <c r="J24" s="151"/>
    </row>
    <row r="25" spans="1:10" ht="12.75" customHeight="1">
      <c r="A25" s="152"/>
      <c r="B25" s="150"/>
      <c r="C25" s="150"/>
      <c r="D25" s="150"/>
      <c r="E25" s="150"/>
      <c r="F25" s="150"/>
      <c r="G25" s="150"/>
      <c r="H25" s="150"/>
      <c r="I25" s="150"/>
      <c r="J25" s="151"/>
    </row>
    <row r="26" spans="1:10" ht="12.75" customHeight="1">
      <c r="A26" s="152"/>
      <c r="B26" s="150"/>
      <c r="C26" s="150"/>
      <c r="D26" s="150"/>
      <c r="E26" s="150"/>
      <c r="F26" s="150"/>
      <c r="G26" s="150"/>
      <c r="H26" s="150"/>
      <c r="I26" s="150"/>
      <c r="J26" s="151"/>
    </row>
    <row r="27" spans="1:10" ht="12.75" customHeight="1">
      <c r="A27" s="152"/>
      <c r="B27" s="150"/>
      <c r="C27" s="150"/>
      <c r="D27" s="150"/>
      <c r="E27" s="150"/>
      <c r="F27" s="150"/>
      <c r="G27" s="150"/>
      <c r="H27" s="150"/>
      <c r="I27" s="150"/>
      <c r="J27" s="151"/>
    </row>
    <row r="28" spans="1:10" ht="12.75" customHeight="1">
      <c r="A28" s="152"/>
      <c r="B28" s="150"/>
      <c r="C28" s="150"/>
      <c r="D28" s="150"/>
      <c r="E28" s="150"/>
      <c r="F28" s="150"/>
      <c r="G28" s="150"/>
      <c r="H28" s="150"/>
      <c r="I28" s="150"/>
      <c r="J28" s="151"/>
    </row>
    <row r="29" spans="1:10" ht="12.75" customHeight="1">
      <c r="A29" s="152"/>
      <c r="B29" s="150"/>
      <c r="C29" s="150"/>
      <c r="D29" s="150"/>
      <c r="E29" s="150"/>
      <c r="F29" s="150"/>
      <c r="G29" s="150"/>
      <c r="H29" s="150"/>
      <c r="I29" s="150"/>
      <c r="J29" s="151"/>
    </row>
    <row r="30" spans="1:10" ht="12.75" customHeight="1">
      <c r="A30" s="152"/>
      <c r="B30" s="150"/>
      <c r="C30" s="150"/>
      <c r="D30" s="150"/>
      <c r="E30" s="150"/>
      <c r="F30" s="150"/>
      <c r="G30" s="150"/>
      <c r="H30" s="150"/>
      <c r="I30" s="150"/>
      <c r="J30" s="151"/>
    </row>
    <row r="31" spans="1:10" ht="12.75" customHeight="1">
      <c r="A31" s="152"/>
      <c r="B31" s="150"/>
      <c r="C31" s="150"/>
      <c r="D31" s="150"/>
      <c r="E31" s="150"/>
      <c r="F31" s="150"/>
      <c r="G31" s="150"/>
      <c r="H31" s="150"/>
      <c r="I31" s="150"/>
      <c r="J31" s="151"/>
    </row>
    <row r="32" spans="1:10" ht="12.75" customHeight="1">
      <c r="A32" s="152"/>
      <c r="B32" s="150"/>
      <c r="C32" s="150"/>
      <c r="D32" s="150"/>
      <c r="E32" s="150"/>
      <c r="F32" s="150"/>
      <c r="G32" s="150"/>
      <c r="H32" s="150"/>
      <c r="I32" s="150"/>
      <c r="J32" s="151"/>
    </row>
    <row r="33" spans="1:10" ht="12.75" customHeight="1">
      <c r="A33" s="152"/>
      <c r="B33" s="150"/>
      <c r="C33" s="150"/>
      <c r="D33" s="150"/>
      <c r="E33" s="150"/>
      <c r="F33" s="150"/>
      <c r="G33" s="150"/>
      <c r="H33" s="150"/>
      <c r="I33" s="150"/>
      <c r="J33" s="151"/>
    </row>
    <row r="34" spans="1:10" ht="12.75" customHeight="1">
      <c r="A34" s="152"/>
      <c r="B34" s="150"/>
      <c r="C34" s="150"/>
      <c r="D34" s="150"/>
      <c r="E34" s="150"/>
      <c r="F34" s="150"/>
      <c r="G34" s="150"/>
      <c r="H34" s="150"/>
      <c r="I34" s="150"/>
      <c r="J34" s="151"/>
    </row>
    <row r="35" spans="1:10" ht="12.75" customHeight="1">
      <c r="A35" s="152"/>
      <c r="B35" s="150"/>
      <c r="C35" s="150"/>
      <c r="D35" s="150"/>
      <c r="E35" s="150"/>
      <c r="F35" s="150"/>
      <c r="G35" s="150"/>
      <c r="H35" s="150"/>
      <c r="I35" s="150"/>
      <c r="J35" s="151"/>
    </row>
    <row r="36" spans="1:10" ht="12.75" customHeight="1">
      <c r="A36" s="152"/>
      <c r="B36" s="150"/>
      <c r="C36" s="150"/>
      <c r="D36" s="150"/>
      <c r="E36" s="150"/>
      <c r="F36" s="150"/>
      <c r="G36" s="150"/>
      <c r="H36" s="150"/>
      <c r="I36" s="150"/>
      <c r="J36" s="151"/>
    </row>
    <row r="37" spans="1:10" ht="12.75" customHeight="1">
      <c r="A37" s="152"/>
      <c r="B37" s="150"/>
      <c r="C37" s="150"/>
      <c r="D37" s="150"/>
      <c r="E37" s="150"/>
      <c r="F37" s="150"/>
      <c r="G37" s="150"/>
      <c r="H37" s="150"/>
      <c r="I37" s="150"/>
      <c r="J37" s="151"/>
    </row>
    <row r="38" spans="1:10" ht="12.75" customHeight="1">
      <c r="A38" s="152"/>
      <c r="B38" s="150"/>
      <c r="C38" s="150"/>
      <c r="D38" s="150"/>
      <c r="E38" s="150"/>
      <c r="F38" s="150"/>
      <c r="G38" s="150"/>
      <c r="H38" s="150"/>
      <c r="I38" s="150"/>
      <c r="J38" s="151"/>
    </row>
    <row r="39" spans="1:10" ht="12.75" customHeight="1">
      <c r="A39" s="152"/>
      <c r="B39" s="150"/>
      <c r="C39" s="150"/>
      <c r="D39" s="150"/>
      <c r="E39" s="150"/>
      <c r="F39" s="150"/>
      <c r="G39" s="150"/>
      <c r="H39" s="150"/>
      <c r="I39" s="150"/>
      <c r="J39" s="151"/>
    </row>
    <row r="40" spans="1:10" ht="12.75" customHeight="1">
      <c r="A40" s="152"/>
      <c r="B40" s="150"/>
      <c r="C40" s="150"/>
      <c r="D40" s="150"/>
      <c r="E40" s="150"/>
      <c r="F40" s="150"/>
      <c r="G40" s="150"/>
      <c r="H40" s="150"/>
      <c r="I40" s="150"/>
      <c r="J40" s="151"/>
    </row>
    <row r="41" spans="1:10" ht="12.75" customHeight="1">
      <c r="A41" s="152"/>
      <c r="B41" s="150"/>
      <c r="C41" s="150"/>
      <c r="D41" s="150"/>
      <c r="E41" s="150"/>
      <c r="F41" s="150"/>
      <c r="G41" s="150"/>
      <c r="H41" s="150"/>
      <c r="I41" s="150"/>
      <c r="J41" s="151"/>
    </row>
    <row r="42" spans="1:10" ht="12.75" customHeight="1">
      <c r="A42" s="152"/>
      <c r="B42" s="150"/>
      <c r="C42" s="150"/>
      <c r="D42" s="150"/>
      <c r="E42" s="150"/>
      <c r="F42" s="150"/>
      <c r="G42" s="150"/>
      <c r="H42" s="150"/>
      <c r="I42" s="150"/>
      <c r="J42" s="151"/>
    </row>
    <row r="43" spans="1:10" ht="12.75" customHeight="1">
      <c r="A43" s="152"/>
      <c r="B43" s="150"/>
      <c r="C43" s="150"/>
      <c r="D43" s="150"/>
      <c r="E43" s="150"/>
      <c r="F43" s="150"/>
      <c r="G43" s="150"/>
      <c r="H43" s="150"/>
      <c r="I43" s="150"/>
      <c r="J43" s="151"/>
    </row>
    <row r="44" spans="1:10" ht="12.75" customHeight="1">
      <c r="A44" s="152"/>
      <c r="B44" s="150"/>
      <c r="C44" s="150"/>
      <c r="D44" s="150"/>
      <c r="E44" s="150"/>
      <c r="F44" s="150"/>
      <c r="G44" s="150"/>
      <c r="H44" s="150"/>
      <c r="I44" s="150"/>
      <c r="J44" s="151"/>
    </row>
    <row r="45" spans="1:10" ht="12.75" customHeight="1">
      <c r="A45" s="152"/>
      <c r="B45" s="150"/>
      <c r="C45" s="150"/>
      <c r="D45" s="150"/>
      <c r="E45" s="150"/>
      <c r="F45" s="150"/>
      <c r="G45" s="150"/>
      <c r="H45" s="150"/>
      <c r="I45" s="150"/>
      <c r="J45" s="151"/>
    </row>
    <row r="46" spans="1:10" ht="12.75" customHeight="1">
      <c r="A46" s="152"/>
      <c r="B46" s="150"/>
      <c r="C46" s="150"/>
      <c r="D46" s="150"/>
      <c r="E46" s="150"/>
      <c r="F46" s="150"/>
      <c r="G46" s="150"/>
      <c r="H46" s="150"/>
      <c r="I46" s="150"/>
      <c r="J46" s="151"/>
    </row>
    <row r="47" spans="1:10" ht="12.75" customHeight="1">
      <c r="A47" s="152"/>
      <c r="B47" s="150"/>
      <c r="C47" s="150"/>
      <c r="D47" s="150"/>
      <c r="E47" s="150"/>
      <c r="F47" s="150"/>
      <c r="G47" s="150"/>
      <c r="H47" s="150"/>
      <c r="I47" s="150"/>
      <c r="J47" s="151"/>
    </row>
    <row r="48" spans="1:10" ht="12.75" customHeight="1">
      <c r="A48" s="152"/>
      <c r="B48" s="150"/>
      <c r="C48" s="150"/>
      <c r="D48" s="150"/>
      <c r="E48" s="150"/>
      <c r="F48" s="150"/>
      <c r="G48" s="150"/>
      <c r="H48" s="150"/>
      <c r="I48" s="150"/>
      <c r="J48" s="151"/>
    </row>
    <row r="49" spans="1:10" ht="12.75" customHeight="1">
      <c r="A49" s="152"/>
      <c r="B49" s="150"/>
      <c r="C49" s="150"/>
      <c r="D49" s="150"/>
      <c r="E49" s="150"/>
      <c r="F49" s="150"/>
      <c r="G49" s="150"/>
      <c r="H49" s="150"/>
      <c r="I49" s="150"/>
      <c r="J49" s="151"/>
    </row>
    <row r="50" spans="1:10" ht="12.75" customHeight="1">
      <c r="A50" s="152"/>
      <c r="B50" s="150"/>
      <c r="C50" s="150"/>
      <c r="D50" s="150"/>
      <c r="E50" s="150"/>
      <c r="F50" s="150"/>
      <c r="G50" s="150"/>
      <c r="H50" s="150"/>
      <c r="I50" s="150"/>
      <c r="J50" s="151"/>
    </row>
    <row r="51" spans="1:10" ht="12.75" customHeight="1">
      <c r="A51" s="152"/>
      <c r="B51" s="150"/>
      <c r="C51" s="150"/>
      <c r="D51" s="150"/>
      <c r="E51" s="150"/>
      <c r="F51" s="150"/>
      <c r="G51" s="150"/>
      <c r="H51" s="150"/>
      <c r="I51" s="150"/>
      <c r="J51" s="151"/>
    </row>
    <row r="52" spans="1:10" ht="12.75" customHeight="1">
      <c r="A52" s="152"/>
      <c r="B52" s="150"/>
      <c r="C52" s="150"/>
      <c r="D52" s="150"/>
      <c r="E52" s="150"/>
      <c r="F52" s="150"/>
      <c r="G52" s="150"/>
      <c r="H52" s="150"/>
      <c r="I52" s="150"/>
      <c r="J52" s="151"/>
    </row>
    <row r="53" spans="1:10" ht="12.75" customHeight="1">
      <c r="A53" s="152"/>
      <c r="B53" s="150"/>
      <c r="C53" s="150"/>
      <c r="D53" s="150"/>
      <c r="E53" s="150"/>
      <c r="F53" s="150"/>
      <c r="G53" s="150"/>
      <c r="H53" s="150"/>
      <c r="I53" s="150"/>
      <c r="J53" s="151"/>
    </row>
    <row r="54" spans="1:10" ht="12.75" customHeight="1">
      <c r="A54" s="170"/>
      <c r="B54" s="157"/>
      <c r="C54" s="157"/>
      <c r="D54" s="157"/>
      <c r="E54" s="157"/>
      <c r="F54" s="157"/>
      <c r="G54" s="157"/>
      <c r="H54" s="157"/>
      <c r="I54" s="157"/>
      <c r="J54" s="158"/>
    </row>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sheetData>
  <mergeCells count="60">
    <mergeCell ref="A17:D17"/>
    <mergeCell ref="E17:F17"/>
    <mergeCell ref="G17:H17"/>
    <mergeCell ref="I17:J17"/>
    <mergeCell ref="A18:D18"/>
    <mergeCell ref="E18:F18"/>
    <mergeCell ref="G18:H18"/>
    <mergeCell ref="I18:J18"/>
    <mergeCell ref="A19:J19"/>
    <mergeCell ref="A20:J20"/>
    <mergeCell ref="A21:J21"/>
    <mergeCell ref="A22:J22"/>
    <mergeCell ref="A23:J54"/>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2:D12"/>
    <mergeCell ref="E12:F12"/>
    <mergeCell ref="G12:H12"/>
    <mergeCell ref="I12:J12"/>
    <mergeCell ref="A9:D9"/>
    <mergeCell ref="E9:F9"/>
    <mergeCell ref="G9:H9"/>
    <mergeCell ref="I9:J9"/>
    <mergeCell ref="A10:D10"/>
    <mergeCell ref="E10:F10"/>
    <mergeCell ref="G10:H10"/>
    <mergeCell ref="I10:J10"/>
    <mergeCell ref="A8:D8"/>
    <mergeCell ref="E8:F8"/>
    <mergeCell ref="G8:H8"/>
    <mergeCell ref="I8:J8"/>
    <mergeCell ref="A11:D11"/>
    <mergeCell ref="E11:F11"/>
    <mergeCell ref="G11:H11"/>
    <mergeCell ref="I11:J11"/>
    <mergeCell ref="A6:D6"/>
    <mergeCell ref="E6:J6"/>
    <mergeCell ref="E7:F7"/>
    <mergeCell ref="G7:H7"/>
    <mergeCell ref="I7:J7"/>
    <mergeCell ref="A1:G1"/>
    <mergeCell ref="H1:J1"/>
    <mergeCell ref="A3:J3"/>
    <mergeCell ref="A4:D4"/>
    <mergeCell ref="E4:J5"/>
    <mergeCell ref="A5:D5"/>
  </mergeCells>
  <dataValidations count="4">
    <dataValidation type="decimal" allowBlank="1" showInputMessage="1" showErrorMessage="1" prompt="Must enter amount in whole dollars." sqref="E8:E13 G8:G13 I8:I13 E15:E17" xr:uid="{B58E3B52-865D-41C4-A19B-6513101268C2}">
      <formula1>0</formula1>
      <formula2>50000000</formula2>
    </dataValidation>
    <dataValidation type="list" allowBlank="1" showInputMessage="1" showErrorMessage="1" prompt="Please select from the drop down list." sqref="E6" xr:uid="{88076BD4-CC94-47EF-BCB9-3616CD0BA2BC}">
      <formula1>Expenditures</formula1>
    </dataValidation>
    <dataValidation type="custom" allowBlank="1" showInputMessage="1" showErrorMessage="1" prompt="Leave Blank or Describe Other Expenditure. " sqref="A15:A17" xr:uid="{A4A44505-2B06-4629-8B91-A36BCCA11F91}">
      <formula1>AND(GTE(LEN(A15),MIN((1),(35))),LTE(LEN(A15),MAX((1),(35))))</formula1>
    </dataValidation>
    <dataValidation type="decimal" allowBlank="1" showInputMessage="1" showErrorMessage="1" prompt="Leave blank or enter amount in whole dollars." sqref="G15:G17 I15:I17" xr:uid="{2BFF7286-8DF5-4F27-A880-1C1971A0AEB0}">
      <formula1>0</formula1>
      <formula2>50000000</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316CB-9D32-40FB-889A-DEF4D6CC5CA4}">
  <dimension ref="A1:J239"/>
  <sheetViews>
    <sheetView topLeftCell="A11" workbookViewId="0">
      <selection activeCell="A23" sqref="A23:J54"/>
    </sheetView>
  </sheetViews>
  <sheetFormatPr defaultColWidth="12.5703125" defaultRowHeight="15" customHeight="1"/>
  <cols>
    <col min="1" max="26" width="8.85546875" customWidth="1"/>
  </cols>
  <sheetData>
    <row r="1" spans="1:10" ht="12.75" customHeight="1">
      <c r="A1" s="210" t="s">
        <v>65</v>
      </c>
      <c r="B1" s="167"/>
      <c r="C1" s="167"/>
      <c r="D1" s="167"/>
      <c r="E1" s="167"/>
      <c r="F1" s="167"/>
      <c r="G1" s="189"/>
      <c r="H1" s="211" t="str">
        <f>'CONTACT INFORMATION'!$A$24</f>
        <v>Yolo</v>
      </c>
      <c r="I1" s="167"/>
      <c r="J1" s="168"/>
    </row>
    <row r="2" spans="1:10" ht="12.75" customHeight="1">
      <c r="A2" s="114"/>
      <c r="B2" s="114"/>
      <c r="C2" s="114"/>
      <c r="D2" s="114"/>
      <c r="E2" s="114"/>
      <c r="F2" s="114"/>
      <c r="G2" s="114"/>
      <c r="H2" s="114"/>
      <c r="I2" s="114"/>
      <c r="J2" s="114"/>
    </row>
    <row r="3" spans="1:10" ht="12.75" customHeight="1">
      <c r="A3" s="256" t="s">
        <v>164</v>
      </c>
      <c r="B3" s="167"/>
      <c r="C3" s="167"/>
      <c r="D3" s="167"/>
      <c r="E3" s="167"/>
      <c r="F3" s="167"/>
      <c r="G3" s="167"/>
      <c r="H3" s="167"/>
      <c r="I3" s="167"/>
      <c r="J3" s="168"/>
    </row>
    <row r="4" spans="1:10" ht="12.75" customHeight="1">
      <c r="A4" s="257" t="s">
        <v>140</v>
      </c>
      <c r="B4" s="145"/>
      <c r="C4" s="145"/>
      <c r="D4" s="146"/>
      <c r="E4" s="258"/>
      <c r="F4" s="171"/>
      <c r="G4" s="171"/>
      <c r="H4" s="171"/>
      <c r="I4" s="171"/>
      <c r="J4" s="172"/>
    </row>
    <row r="5" spans="1:10" ht="12.75" customHeight="1">
      <c r="A5" s="259" t="s">
        <v>156</v>
      </c>
      <c r="B5" s="260"/>
      <c r="C5" s="260"/>
      <c r="D5" s="261"/>
      <c r="E5" s="170"/>
      <c r="F5" s="157"/>
      <c r="G5" s="157"/>
      <c r="H5" s="157"/>
      <c r="I5" s="157"/>
      <c r="J5" s="158"/>
    </row>
    <row r="6" spans="1:10" ht="12.75" customHeight="1">
      <c r="A6" s="253" t="s">
        <v>157</v>
      </c>
      <c r="B6" s="167"/>
      <c r="C6" s="167"/>
      <c r="D6" s="168"/>
      <c r="E6" s="193" t="s">
        <v>92</v>
      </c>
      <c r="F6" s="167"/>
      <c r="G6" s="167"/>
      <c r="H6" s="167"/>
      <c r="I6" s="167"/>
      <c r="J6" s="168"/>
    </row>
    <row r="7" spans="1:10" ht="12.75" customHeight="1">
      <c r="A7" s="115"/>
      <c r="B7" s="113"/>
      <c r="C7" s="113"/>
      <c r="D7" s="113"/>
      <c r="E7" s="254" t="s">
        <v>141</v>
      </c>
      <c r="F7" s="157"/>
      <c r="G7" s="254" t="s">
        <v>142</v>
      </c>
      <c r="H7" s="157"/>
      <c r="I7" s="255" t="s">
        <v>143</v>
      </c>
      <c r="J7" s="158"/>
    </row>
    <row r="8" spans="1:10" ht="12.75" customHeight="1">
      <c r="A8" s="197" t="s">
        <v>144</v>
      </c>
      <c r="B8" s="167"/>
      <c r="C8" s="167"/>
      <c r="D8" s="168"/>
      <c r="E8" s="266"/>
      <c r="F8" s="168"/>
      <c r="G8" s="266"/>
      <c r="H8" s="168"/>
      <c r="I8" s="267"/>
      <c r="J8" s="168"/>
    </row>
    <row r="9" spans="1:10" ht="12.75" customHeight="1">
      <c r="A9" s="262" t="s">
        <v>145</v>
      </c>
      <c r="B9" s="167"/>
      <c r="C9" s="167"/>
      <c r="D9" s="168"/>
      <c r="E9" s="263">
        <v>6</v>
      </c>
      <c r="F9" s="168"/>
      <c r="G9" s="264">
        <v>23877</v>
      </c>
      <c r="H9" s="168"/>
      <c r="I9" s="265"/>
      <c r="J9" s="168"/>
    </row>
    <row r="10" spans="1:10" ht="12.75" customHeight="1">
      <c r="A10" s="197" t="s">
        <v>146</v>
      </c>
      <c r="B10" s="167"/>
      <c r="C10" s="167"/>
      <c r="D10" s="168"/>
      <c r="E10" s="266"/>
      <c r="F10" s="168"/>
      <c r="G10" s="266"/>
      <c r="H10" s="168"/>
      <c r="I10" s="267"/>
      <c r="J10" s="168"/>
    </row>
    <row r="11" spans="1:10" ht="12.75" customHeight="1">
      <c r="A11" s="262" t="s">
        <v>147</v>
      </c>
      <c r="B11" s="167"/>
      <c r="C11" s="167"/>
      <c r="D11" s="168"/>
      <c r="E11" s="263"/>
      <c r="F11" s="168"/>
      <c r="G11" s="264"/>
      <c r="H11" s="168"/>
      <c r="I11" s="265"/>
      <c r="J11" s="168"/>
    </row>
    <row r="12" spans="1:10" ht="12.75" customHeight="1">
      <c r="A12" s="197" t="s">
        <v>148</v>
      </c>
      <c r="B12" s="167"/>
      <c r="C12" s="167"/>
      <c r="D12" s="168"/>
      <c r="E12" s="266"/>
      <c r="F12" s="168"/>
      <c r="G12" s="266"/>
      <c r="H12" s="168"/>
      <c r="I12" s="267"/>
      <c r="J12" s="168"/>
    </row>
    <row r="13" spans="1:10" ht="12.75" customHeight="1">
      <c r="A13" s="262" t="s">
        <v>149</v>
      </c>
      <c r="B13" s="167"/>
      <c r="C13" s="167"/>
      <c r="D13" s="168"/>
      <c r="E13" s="263"/>
      <c r="F13" s="168"/>
      <c r="G13" s="264"/>
      <c r="H13" s="168"/>
      <c r="I13" s="265"/>
      <c r="J13" s="168"/>
    </row>
    <row r="14" spans="1:10" ht="12.75" customHeight="1">
      <c r="A14" s="197" t="s">
        <v>150</v>
      </c>
      <c r="B14" s="167"/>
      <c r="C14" s="167"/>
      <c r="D14" s="168"/>
      <c r="E14" s="270"/>
      <c r="F14" s="168"/>
      <c r="G14" s="270"/>
      <c r="H14" s="168"/>
      <c r="I14" s="269"/>
      <c r="J14" s="168"/>
    </row>
    <row r="15" spans="1:10" ht="12.75" customHeight="1">
      <c r="A15" s="272"/>
      <c r="B15" s="167"/>
      <c r="C15" s="167"/>
      <c r="D15" s="168"/>
      <c r="E15" s="263"/>
      <c r="F15" s="168"/>
      <c r="G15" s="264"/>
      <c r="H15" s="168"/>
      <c r="I15" s="264"/>
      <c r="J15" s="168"/>
    </row>
    <row r="16" spans="1:10" ht="12.75" customHeight="1">
      <c r="A16" s="272"/>
      <c r="B16" s="167"/>
      <c r="C16" s="167"/>
      <c r="D16" s="168"/>
      <c r="E16" s="263"/>
      <c r="F16" s="168"/>
      <c r="G16" s="264"/>
      <c r="H16" s="168"/>
      <c r="I16" s="264"/>
      <c r="J16" s="168"/>
    </row>
    <row r="17" spans="1:10" ht="12.75" customHeight="1">
      <c r="A17" s="272"/>
      <c r="B17" s="167"/>
      <c r="C17" s="167"/>
      <c r="D17" s="168"/>
      <c r="E17" s="263"/>
      <c r="F17" s="168"/>
      <c r="G17" s="264"/>
      <c r="H17" s="168"/>
      <c r="I17" s="264"/>
      <c r="J17" s="168"/>
    </row>
    <row r="18" spans="1:10" ht="12.75" customHeight="1">
      <c r="A18" s="201" t="s">
        <v>151</v>
      </c>
      <c r="B18" s="167"/>
      <c r="C18" s="167"/>
      <c r="D18" s="168"/>
      <c r="E18" s="273">
        <f>SUM(E8:E17)</f>
        <v>6</v>
      </c>
      <c r="F18" s="168"/>
      <c r="G18" s="273">
        <f>SUM(G8:G17)</f>
        <v>23877</v>
      </c>
      <c r="H18" s="168"/>
      <c r="I18" s="273">
        <f>SUM(I8:I17)</f>
        <v>0</v>
      </c>
      <c r="J18" s="168"/>
    </row>
    <row r="19" spans="1:10" ht="12.75" customHeight="1">
      <c r="A19" s="274" t="s">
        <v>152</v>
      </c>
      <c r="B19" s="145"/>
      <c r="C19" s="145"/>
      <c r="D19" s="145"/>
      <c r="E19" s="145"/>
      <c r="F19" s="145"/>
      <c r="G19" s="145"/>
      <c r="H19" s="145"/>
      <c r="I19" s="145"/>
      <c r="J19" s="146"/>
    </row>
    <row r="20" spans="1:10" ht="12.75" customHeight="1">
      <c r="A20" s="268" t="s">
        <v>153</v>
      </c>
      <c r="B20" s="161"/>
      <c r="C20" s="161"/>
      <c r="D20" s="161"/>
      <c r="E20" s="161"/>
      <c r="F20" s="161"/>
      <c r="G20" s="161"/>
      <c r="H20" s="161"/>
      <c r="I20" s="161"/>
      <c r="J20" s="162"/>
    </row>
    <row r="21" spans="1:10" ht="12.75" customHeight="1">
      <c r="A21" s="268" t="s">
        <v>154</v>
      </c>
      <c r="B21" s="161"/>
      <c r="C21" s="161"/>
      <c r="D21" s="161"/>
      <c r="E21" s="161"/>
      <c r="F21" s="161"/>
      <c r="G21" s="161"/>
      <c r="H21" s="161"/>
      <c r="I21" s="161"/>
      <c r="J21" s="162"/>
    </row>
    <row r="22" spans="1:10" ht="12.75" customHeight="1">
      <c r="A22" s="271" t="s">
        <v>155</v>
      </c>
      <c r="B22" s="260"/>
      <c r="C22" s="260"/>
      <c r="D22" s="260"/>
      <c r="E22" s="260"/>
      <c r="F22" s="260"/>
      <c r="G22" s="260"/>
      <c r="H22" s="260"/>
      <c r="I22" s="260"/>
      <c r="J22" s="261"/>
    </row>
    <row r="23" spans="1:10" ht="12.75" customHeight="1">
      <c r="A23" s="275" t="s">
        <v>916</v>
      </c>
      <c r="B23" s="171"/>
      <c r="C23" s="171"/>
      <c r="D23" s="171"/>
      <c r="E23" s="171"/>
      <c r="F23" s="171"/>
      <c r="G23" s="171"/>
      <c r="H23" s="171"/>
      <c r="I23" s="171"/>
      <c r="J23" s="172"/>
    </row>
    <row r="24" spans="1:10" ht="12.75" customHeight="1">
      <c r="A24" s="152"/>
      <c r="B24" s="150"/>
      <c r="C24" s="150"/>
      <c r="D24" s="150"/>
      <c r="E24" s="150"/>
      <c r="F24" s="150"/>
      <c r="G24" s="150"/>
      <c r="H24" s="150"/>
      <c r="I24" s="150"/>
      <c r="J24" s="151"/>
    </row>
    <row r="25" spans="1:10" ht="12.75" customHeight="1">
      <c r="A25" s="152"/>
      <c r="B25" s="150"/>
      <c r="C25" s="150"/>
      <c r="D25" s="150"/>
      <c r="E25" s="150"/>
      <c r="F25" s="150"/>
      <c r="G25" s="150"/>
      <c r="H25" s="150"/>
      <c r="I25" s="150"/>
      <c r="J25" s="151"/>
    </row>
    <row r="26" spans="1:10" ht="12.75" customHeight="1">
      <c r="A26" s="152"/>
      <c r="B26" s="150"/>
      <c r="C26" s="150"/>
      <c r="D26" s="150"/>
      <c r="E26" s="150"/>
      <c r="F26" s="150"/>
      <c r="G26" s="150"/>
      <c r="H26" s="150"/>
      <c r="I26" s="150"/>
      <c r="J26" s="151"/>
    </row>
    <row r="27" spans="1:10" ht="12.75" customHeight="1">
      <c r="A27" s="152"/>
      <c r="B27" s="150"/>
      <c r="C27" s="150"/>
      <c r="D27" s="150"/>
      <c r="E27" s="150"/>
      <c r="F27" s="150"/>
      <c r="G27" s="150"/>
      <c r="H27" s="150"/>
      <c r="I27" s="150"/>
      <c r="J27" s="151"/>
    </row>
    <row r="28" spans="1:10" ht="12.75" customHeight="1">
      <c r="A28" s="152"/>
      <c r="B28" s="150"/>
      <c r="C28" s="150"/>
      <c r="D28" s="150"/>
      <c r="E28" s="150"/>
      <c r="F28" s="150"/>
      <c r="G28" s="150"/>
      <c r="H28" s="150"/>
      <c r="I28" s="150"/>
      <c r="J28" s="151"/>
    </row>
    <row r="29" spans="1:10" ht="12.75" customHeight="1">
      <c r="A29" s="152"/>
      <c r="B29" s="150"/>
      <c r="C29" s="150"/>
      <c r="D29" s="150"/>
      <c r="E29" s="150"/>
      <c r="F29" s="150"/>
      <c r="G29" s="150"/>
      <c r="H29" s="150"/>
      <c r="I29" s="150"/>
      <c r="J29" s="151"/>
    </row>
    <row r="30" spans="1:10" ht="12.75" customHeight="1">
      <c r="A30" s="152"/>
      <c r="B30" s="150"/>
      <c r="C30" s="150"/>
      <c r="D30" s="150"/>
      <c r="E30" s="150"/>
      <c r="F30" s="150"/>
      <c r="G30" s="150"/>
      <c r="H30" s="150"/>
      <c r="I30" s="150"/>
      <c r="J30" s="151"/>
    </row>
    <row r="31" spans="1:10" ht="12.75" customHeight="1">
      <c r="A31" s="152"/>
      <c r="B31" s="150"/>
      <c r="C31" s="150"/>
      <c r="D31" s="150"/>
      <c r="E31" s="150"/>
      <c r="F31" s="150"/>
      <c r="G31" s="150"/>
      <c r="H31" s="150"/>
      <c r="I31" s="150"/>
      <c r="J31" s="151"/>
    </row>
    <row r="32" spans="1:10" ht="12.75" customHeight="1">
      <c r="A32" s="152"/>
      <c r="B32" s="150"/>
      <c r="C32" s="150"/>
      <c r="D32" s="150"/>
      <c r="E32" s="150"/>
      <c r="F32" s="150"/>
      <c r="G32" s="150"/>
      <c r="H32" s="150"/>
      <c r="I32" s="150"/>
      <c r="J32" s="151"/>
    </row>
    <row r="33" spans="1:10" ht="12.75" customHeight="1">
      <c r="A33" s="152"/>
      <c r="B33" s="150"/>
      <c r="C33" s="150"/>
      <c r="D33" s="150"/>
      <c r="E33" s="150"/>
      <c r="F33" s="150"/>
      <c r="G33" s="150"/>
      <c r="H33" s="150"/>
      <c r="I33" s="150"/>
      <c r="J33" s="151"/>
    </row>
    <row r="34" spans="1:10" ht="12.75" customHeight="1">
      <c r="A34" s="152"/>
      <c r="B34" s="150"/>
      <c r="C34" s="150"/>
      <c r="D34" s="150"/>
      <c r="E34" s="150"/>
      <c r="F34" s="150"/>
      <c r="G34" s="150"/>
      <c r="H34" s="150"/>
      <c r="I34" s="150"/>
      <c r="J34" s="151"/>
    </row>
    <row r="35" spans="1:10" ht="12.75" customHeight="1">
      <c r="A35" s="152"/>
      <c r="B35" s="150"/>
      <c r="C35" s="150"/>
      <c r="D35" s="150"/>
      <c r="E35" s="150"/>
      <c r="F35" s="150"/>
      <c r="G35" s="150"/>
      <c r="H35" s="150"/>
      <c r="I35" s="150"/>
      <c r="J35" s="151"/>
    </row>
    <row r="36" spans="1:10" ht="12.75" customHeight="1">
      <c r="A36" s="152"/>
      <c r="B36" s="150"/>
      <c r="C36" s="150"/>
      <c r="D36" s="150"/>
      <c r="E36" s="150"/>
      <c r="F36" s="150"/>
      <c r="G36" s="150"/>
      <c r="H36" s="150"/>
      <c r="I36" s="150"/>
      <c r="J36" s="151"/>
    </row>
    <row r="37" spans="1:10" ht="12.75" customHeight="1">
      <c r="A37" s="152"/>
      <c r="B37" s="150"/>
      <c r="C37" s="150"/>
      <c r="D37" s="150"/>
      <c r="E37" s="150"/>
      <c r="F37" s="150"/>
      <c r="G37" s="150"/>
      <c r="H37" s="150"/>
      <c r="I37" s="150"/>
      <c r="J37" s="151"/>
    </row>
    <row r="38" spans="1:10" ht="12.75" customHeight="1">
      <c r="A38" s="152"/>
      <c r="B38" s="150"/>
      <c r="C38" s="150"/>
      <c r="D38" s="150"/>
      <c r="E38" s="150"/>
      <c r="F38" s="150"/>
      <c r="G38" s="150"/>
      <c r="H38" s="150"/>
      <c r="I38" s="150"/>
      <c r="J38" s="151"/>
    </row>
    <row r="39" spans="1:10" ht="12.75" customHeight="1">
      <c r="A39" s="152"/>
      <c r="B39" s="150"/>
      <c r="C39" s="150"/>
      <c r="D39" s="150"/>
      <c r="E39" s="150"/>
      <c r="F39" s="150"/>
      <c r="G39" s="150"/>
      <c r="H39" s="150"/>
      <c r="I39" s="150"/>
      <c r="J39" s="151"/>
    </row>
    <row r="40" spans="1:10" ht="12.75" customHeight="1">
      <c r="A40" s="152"/>
      <c r="B40" s="150"/>
      <c r="C40" s="150"/>
      <c r="D40" s="150"/>
      <c r="E40" s="150"/>
      <c r="F40" s="150"/>
      <c r="G40" s="150"/>
      <c r="H40" s="150"/>
      <c r="I40" s="150"/>
      <c r="J40" s="151"/>
    </row>
    <row r="41" spans="1:10" ht="12.75" customHeight="1">
      <c r="A41" s="152"/>
      <c r="B41" s="150"/>
      <c r="C41" s="150"/>
      <c r="D41" s="150"/>
      <c r="E41" s="150"/>
      <c r="F41" s="150"/>
      <c r="G41" s="150"/>
      <c r="H41" s="150"/>
      <c r="I41" s="150"/>
      <c r="J41" s="151"/>
    </row>
    <row r="42" spans="1:10" ht="12.75" customHeight="1">
      <c r="A42" s="152"/>
      <c r="B42" s="150"/>
      <c r="C42" s="150"/>
      <c r="D42" s="150"/>
      <c r="E42" s="150"/>
      <c r="F42" s="150"/>
      <c r="G42" s="150"/>
      <c r="H42" s="150"/>
      <c r="I42" s="150"/>
      <c r="J42" s="151"/>
    </row>
    <row r="43" spans="1:10" ht="12.75" customHeight="1">
      <c r="A43" s="152"/>
      <c r="B43" s="150"/>
      <c r="C43" s="150"/>
      <c r="D43" s="150"/>
      <c r="E43" s="150"/>
      <c r="F43" s="150"/>
      <c r="G43" s="150"/>
      <c r="H43" s="150"/>
      <c r="I43" s="150"/>
      <c r="J43" s="151"/>
    </row>
    <row r="44" spans="1:10" ht="12.75" customHeight="1">
      <c r="A44" s="152"/>
      <c r="B44" s="150"/>
      <c r="C44" s="150"/>
      <c r="D44" s="150"/>
      <c r="E44" s="150"/>
      <c r="F44" s="150"/>
      <c r="G44" s="150"/>
      <c r="H44" s="150"/>
      <c r="I44" s="150"/>
      <c r="J44" s="151"/>
    </row>
    <row r="45" spans="1:10" ht="12.75" customHeight="1">
      <c r="A45" s="152"/>
      <c r="B45" s="150"/>
      <c r="C45" s="150"/>
      <c r="D45" s="150"/>
      <c r="E45" s="150"/>
      <c r="F45" s="150"/>
      <c r="G45" s="150"/>
      <c r="H45" s="150"/>
      <c r="I45" s="150"/>
      <c r="J45" s="151"/>
    </row>
    <row r="46" spans="1:10" ht="12.75" customHeight="1">
      <c r="A46" s="152"/>
      <c r="B46" s="150"/>
      <c r="C46" s="150"/>
      <c r="D46" s="150"/>
      <c r="E46" s="150"/>
      <c r="F46" s="150"/>
      <c r="G46" s="150"/>
      <c r="H46" s="150"/>
      <c r="I46" s="150"/>
      <c r="J46" s="151"/>
    </row>
    <row r="47" spans="1:10" ht="12.75" customHeight="1">
      <c r="A47" s="152"/>
      <c r="B47" s="150"/>
      <c r="C47" s="150"/>
      <c r="D47" s="150"/>
      <c r="E47" s="150"/>
      <c r="F47" s="150"/>
      <c r="G47" s="150"/>
      <c r="H47" s="150"/>
      <c r="I47" s="150"/>
      <c r="J47" s="151"/>
    </row>
    <row r="48" spans="1:10" ht="12.75" customHeight="1">
      <c r="A48" s="152"/>
      <c r="B48" s="150"/>
      <c r="C48" s="150"/>
      <c r="D48" s="150"/>
      <c r="E48" s="150"/>
      <c r="F48" s="150"/>
      <c r="G48" s="150"/>
      <c r="H48" s="150"/>
      <c r="I48" s="150"/>
      <c r="J48" s="151"/>
    </row>
    <row r="49" spans="1:10" ht="12.75" customHeight="1">
      <c r="A49" s="152"/>
      <c r="B49" s="150"/>
      <c r="C49" s="150"/>
      <c r="D49" s="150"/>
      <c r="E49" s="150"/>
      <c r="F49" s="150"/>
      <c r="G49" s="150"/>
      <c r="H49" s="150"/>
      <c r="I49" s="150"/>
      <c r="J49" s="151"/>
    </row>
    <row r="50" spans="1:10" ht="12.75" customHeight="1">
      <c r="A50" s="152"/>
      <c r="B50" s="150"/>
      <c r="C50" s="150"/>
      <c r="D50" s="150"/>
      <c r="E50" s="150"/>
      <c r="F50" s="150"/>
      <c r="G50" s="150"/>
      <c r="H50" s="150"/>
      <c r="I50" s="150"/>
      <c r="J50" s="151"/>
    </row>
    <row r="51" spans="1:10" ht="12.75" customHeight="1">
      <c r="A51" s="152"/>
      <c r="B51" s="150"/>
      <c r="C51" s="150"/>
      <c r="D51" s="150"/>
      <c r="E51" s="150"/>
      <c r="F51" s="150"/>
      <c r="G51" s="150"/>
      <c r="H51" s="150"/>
      <c r="I51" s="150"/>
      <c r="J51" s="151"/>
    </row>
    <row r="52" spans="1:10" ht="12.75" customHeight="1">
      <c r="A52" s="152"/>
      <c r="B52" s="150"/>
      <c r="C52" s="150"/>
      <c r="D52" s="150"/>
      <c r="E52" s="150"/>
      <c r="F52" s="150"/>
      <c r="G52" s="150"/>
      <c r="H52" s="150"/>
      <c r="I52" s="150"/>
      <c r="J52" s="151"/>
    </row>
    <row r="53" spans="1:10" ht="12.75" customHeight="1">
      <c r="A53" s="152"/>
      <c r="B53" s="150"/>
      <c r="C53" s="150"/>
      <c r="D53" s="150"/>
      <c r="E53" s="150"/>
      <c r="F53" s="150"/>
      <c r="G53" s="150"/>
      <c r="H53" s="150"/>
      <c r="I53" s="150"/>
      <c r="J53" s="151"/>
    </row>
    <row r="54" spans="1:10" ht="12.75" customHeight="1">
      <c r="A54" s="170"/>
      <c r="B54" s="157"/>
      <c r="C54" s="157"/>
      <c r="D54" s="157"/>
      <c r="E54" s="157"/>
      <c r="F54" s="157"/>
      <c r="G54" s="157"/>
      <c r="H54" s="157"/>
      <c r="I54" s="157"/>
      <c r="J54" s="158"/>
    </row>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sheetData>
  <mergeCells count="60">
    <mergeCell ref="A17:D17"/>
    <mergeCell ref="E17:F17"/>
    <mergeCell ref="G17:H17"/>
    <mergeCell ref="I17:J17"/>
    <mergeCell ref="A18:D18"/>
    <mergeCell ref="E18:F18"/>
    <mergeCell ref="G18:H18"/>
    <mergeCell ref="I18:J18"/>
    <mergeCell ref="A19:J19"/>
    <mergeCell ref="A20:J20"/>
    <mergeCell ref="A21:J21"/>
    <mergeCell ref="A22:J22"/>
    <mergeCell ref="A23:J54"/>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2:D12"/>
    <mergeCell ref="E12:F12"/>
    <mergeCell ref="G12:H12"/>
    <mergeCell ref="I12:J12"/>
    <mergeCell ref="A9:D9"/>
    <mergeCell ref="E9:F9"/>
    <mergeCell ref="G9:H9"/>
    <mergeCell ref="I9:J9"/>
    <mergeCell ref="A10:D10"/>
    <mergeCell ref="E10:F10"/>
    <mergeCell ref="G10:H10"/>
    <mergeCell ref="I10:J10"/>
    <mergeCell ref="A8:D8"/>
    <mergeCell ref="E8:F8"/>
    <mergeCell ref="G8:H8"/>
    <mergeCell ref="I8:J8"/>
    <mergeCell ref="A11:D11"/>
    <mergeCell ref="E11:F11"/>
    <mergeCell ref="G11:H11"/>
    <mergeCell ref="I11:J11"/>
    <mergeCell ref="A6:D6"/>
    <mergeCell ref="E6:J6"/>
    <mergeCell ref="E7:F7"/>
    <mergeCell ref="G7:H7"/>
    <mergeCell ref="I7:J7"/>
    <mergeCell ref="A1:G1"/>
    <mergeCell ref="H1:J1"/>
    <mergeCell ref="A3:J3"/>
    <mergeCell ref="A4:D4"/>
    <mergeCell ref="E4:J5"/>
    <mergeCell ref="A5:D5"/>
  </mergeCells>
  <dataValidations count="4">
    <dataValidation type="decimal" allowBlank="1" showInputMessage="1" showErrorMessage="1" prompt="Must enter amount in whole dollars." sqref="E8:E13 G8:G13 I8:I13 E15:E17" xr:uid="{C9256745-1A0E-4860-A273-E55FEC7B39E0}">
      <formula1>0</formula1>
      <formula2>50000000</formula2>
    </dataValidation>
    <dataValidation type="list" allowBlank="1" showInputMessage="1" showErrorMessage="1" prompt="Please select from the drop down list." sqref="E6" xr:uid="{BF0DB38C-65DC-4983-AA4F-84BEE31DDE80}">
      <formula1>Expenditures</formula1>
    </dataValidation>
    <dataValidation type="custom" allowBlank="1" showInputMessage="1" showErrorMessage="1" prompt="Leave Blank or Describe Other Expenditure. " sqref="A15:A17" xr:uid="{DB863556-9C86-4C12-9FC6-13DB86987A1E}">
      <formula1>AND(GTE(LEN(A15),MIN((1),(35))),LTE(LEN(A15),MAX((1),(35))))</formula1>
    </dataValidation>
    <dataValidation type="decimal" allowBlank="1" showInputMessage="1" showErrorMessage="1" prompt="Leave blank or enter amount in whole dollars." sqref="G15:G17 I15:I17" xr:uid="{E3BCD040-2064-4404-85D9-59BEAF7D8285}">
      <formula1>0</formula1>
      <formula2>50000000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5A8F5-2737-4E0F-AEFA-F69289826FBF}">
  <dimension ref="A1:J239"/>
  <sheetViews>
    <sheetView workbookViewId="0">
      <selection activeCell="A23" sqref="A23:J54"/>
    </sheetView>
  </sheetViews>
  <sheetFormatPr defaultColWidth="12.5703125" defaultRowHeight="15" customHeight="1"/>
  <cols>
    <col min="1" max="26" width="8.85546875" customWidth="1"/>
  </cols>
  <sheetData>
    <row r="1" spans="1:10" ht="12.75" customHeight="1">
      <c r="A1" s="210" t="s">
        <v>65</v>
      </c>
      <c r="B1" s="167"/>
      <c r="C1" s="167"/>
      <c r="D1" s="167"/>
      <c r="E1" s="167"/>
      <c r="F1" s="167"/>
      <c r="G1" s="189"/>
      <c r="H1" s="211" t="str">
        <f>'CONTACT INFORMATION'!$A$24</f>
        <v>Yolo</v>
      </c>
      <c r="I1" s="167"/>
      <c r="J1" s="168"/>
    </row>
    <row r="2" spans="1:10" ht="12.75" customHeight="1">
      <c r="A2" s="114"/>
      <c r="B2" s="114"/>
      <c r="C2" s="114"/>
      <c r="D2" s="114"/>
      <c r="E2" s="114"/>
      <c r="F2" s="114"/>
      <c r="G2" s="114"/>
      <c r="H2" s="114"/>
      <c r="I2" s="114"/>
      <c r="J2" s="114"/>
    </row>
    <row r="3" spans="1:10" ht="12.75" customHeight="1">
      <c r="A3" s="256" t="s">
        <v>911</v>
      </c>
      <c r="B3" s="167"/>
      <c r="C3" s="167"/>
      <c r="D3" s="167"/>
      <c r="E3" s="167"/>
      <c r="F3" s="167"/>
      <c r="G3" s="167"/>
      <c r="H3" s="167"/>
      <c r="I3" s="167"/>
      <c r="J3" s="168"/>
    </row>
    <row r="4" spans="1:10" ht="12.75" customHeight="1">
      <c r="A4" s="257" t="s">
        <v>140</v>
      </c>
      <c r="B4" s="145"/>
      <c r="C4" s="145"/>
      <c r="D4" s="146"/>
      <c r="E4" s="258"/>
      <c r="F4" s="171"/>
      <c r="G4" s="171"/>
      <c r="H4" s="171"/>
      <c r="I4" s="171"/>
      <c r="J4" s="172"/>
    </row>
    <row r="5" spans="1:10" ht="12.75" customHeight="1">
      <c r="A5" s="259" t="s">
        <v>156</v>
      </c>
      <c r="B5" s="260"/>
      <c r="C5" s="260"/>
      <c r="D5" s="261"/>
      <c r="E5" s="170"/>
      <c r="F5" s="157"/>
      <c r="G5" s="157"/>
      <c r="H5" s="157"/>
      <c r="I5" s="157"/>
      <c r="J5" s="158"/>
    </row>
    <row r="6" spans="1:10" ht="12.75" customHeight="1">
      <c r="A6" s="253" t="s">
        <v>157</v>
      </c>
      <c r="B6" s="167"/>
      <c r="C6" s="167"/>
      <c r="D6" s="168"/>
      <c r="E6" s="193" t="s">
        <v>104</v>
      </c>
      <c r="F6" s="167"/>
      <c r="G6" s="167"/>
      <c r="H6" s="167"/>
      <c r="I6" s="167"/>
      <c r="J6" s="168"/>
    </row>
    <row r="7" spans="1:10" ht="12.75" customHeight="1">
      <c r="A7" s="115"/>
      <c r="B7" s="113"/>
      <c r="C7" s="113"/>
      <c r="D7" s="113"/>
      <c r="E7" s="254" t="s">
        <v>141</v>
      </c>
      <c r="F7" s="157"/>
      <c r="G7" s="254" t="s">
        <v>142</v>
      </c>
      <c r="H7" s="157"/>
      <c r="I7" s="255" t="s">
        <v>143</v>
      </c>
      <c r="J7" s="158"/>
    </row>
    <row r="8" spans="1:10" ht="12.75" customHeight="1">
      <c r="A8" s="197" t="s">
        <v>144</v>
      </c>
      <c r="B8" s="167"/>
      <c r="C8" s="167"/>
      <c r="D8" s="168"/>
      <c r="E8" s="266"/>
      <c r="F8" s="168"/>
      <c r="G8" s="266"/>
      <c r="H8" s="168"/>
      <c r="I8" s="267"/>
      <c r="J8" s="168"/>
    </row>
    <row r="9" spans="1:10" ht="12.75" customHeight="1">
      <c r="A9" s="262" t="s">
        <v>145</v>
      </c>
      <c r="B9" s="167"/>
      <c r="C9" s="167"/>
      <c r="D9" s="168"/>
      <c r="E9" s="263"/>
      <c r="F9" s="168"/>
      <c r="G9" s="264"/>
      <c r="H9" s="168"/>
      <c r="I9" s="265"/>
      <c r="J9" s="168"/>
    </row>
    <row r="10" spans="1:10" ht="12.75" customHeight="1">
      <c r="A10" s="197" t="s">
        <v>146</v>
      </c>
      <c r="B10" s="167"/>
      <c r="C10" s="167"/>
      <c r="D10" s="168"/>
      <c r="E10" s="266"/>
      <c r="F10" s="168"/>
      <c r="G10" s="266">
        <v>0</v>
      </c>
      <c r="H10" s="168"/>
      <c r="I10" s="267"/>
      <c r="J10" s="168"/>
    </row>
    <row r="11" spans="1:10" ht="12.75" customHeight="1">
      <c r="A11" s="262" t="s">
        <v>147</v>
      </c>
      <c r="B11" s="167"/>
      <c r="C11" s="167"/>
      <c r="D11" s="168"/>
      <c r="E11" s="263">
        <v>128088</v>
      </c>
      <c r="F11" s="168"/>
      <c r="G11" s="264">
        <v>0</v>
      </c>
      <c r="H11" s="168"/>
      <c r="I11" s="265"/>
      <c r="J11" s="168"/>
    </row>
    <row r="12" spans="1:10" ht="12.75" customHeight="1">
      <c r="A12" s="197" t="s">
        <v>148</v>
      </c>
      <c r="B12" s="167"/>
      <c r="C12" s="167"/>
      <c r="D12" s="168"/>
      <c r="E12" s="266"/>
      <c r="F12" s="168"/>
      <c r="G12" s="266"/>
      <c r="H12" s="168"/>
      <c r="I12" s="267"/>
      <c r="J12" s="168"/>
    </row>
    <row r="13" spans="1:10" ht="12.75" customHeight="1">
      <c r="A13" s="262" t="s">
        <v>149</v>
      </c>
      <c r="B13" s="167"/>
      <c r="C13" s="167"/>
      <c r="D13" s="168"/>
      <c r="E13" s="263"/>
      <c r="F13" s="168"/>
      <c r="G13" s="264"/>
      <c r="H13" s="168"/>
      <c r="I13" s="265"/>
      <c r="J13" s="168"/>
    </row>
    <row r="14" spans="1:10" ht="12.75" customHeight="1">
      <c r="A14" s="197" t="s">
        <v>150</v>
      </c>
      <c r="B14" s="167"/>
      <c r="C14" s="167"/>
      <c r="D14" s="168"/>
      <c r="E14" s="270"/>
      <c r="F14" s="168"/>
      <c r="G14" s="270"/>
      <c r="H14" s="168"/>
      <c r="I14" s="269"/>
      <c r="J14" s="168"/>
    </row>
    <row r="15" spans="1:10" ht="12.75" customHeight="1">
      <c r="A15" s="272"/>
      <c r="B15" s="167"/>
      <c r="C15" s="167"/>
      <c r="D15" s="168"/>
      <c r="E15" s="263"/>
      <c r="F15" s="168"/>
      <c r="G15" s="264"/>
      <c r="H15" s="168"/>
      <c r="I15" s="264"/>
      <c r="J15" s="168"/>
    </row>
    <row r="16" spans="1:10" ht="12.75" customHeight="1">
      <c r="A16" s="272"/>
      <c r="B16" s="167"/>
      <c r="C16" s="167"/>
      <c r="D16" s="168"/>
      <c r="E16" s="263"/>
      <c r="F16" s="168"/>
      <c r="G16" s="264"/>
      <c r="H16" s="168"/>
      <c r="I16" s="264"/>
      <c r="J16" s="168"/>
    </row>
    <row r="17" spans="1:10" ht="12.75" customHeight="1">
      <c r="A17" s="272"/>
      <c r="B17" s="167"/>
      <c r="C17" s="167"/>
      <c r="D17" s="168"/>
      <c r="E17" s="263"/>
      <c r="F17" s="168"/>
      <c r="G17" s="264"/>
      <c r="H17" s="168"/>
      <c r="I17" s="264"/>
      <c r="J17" s="168"/>
    </row>
    <row r="18" spans="1:10" ht="12.75" customHeight="1">
      <c r="A18" s="201" t="s">
        <v>151</v>
      </c>
      <c r="B18" s="167"/>
      <c r="C18" s="167"/>
      <c r="D18" s="168"/>
      <c r="E18" s="273">
        <f>SUM(E8:E17)</f>
        <v>128088</v>
      </c>
      <c r="F18" s="168"/>
      <c r="G18" s="273">
        <f>SUM(G8:G17)</f>
        <v>0</v>
      </c>
      <c r="H18" s="168"/>
      <c r="I18" s="273">
        <f>SUM(I8:I17)</f>
        <v>0</v>
      </c>
      <c r="J18" s="168"/>
    </row>
    <row r="19" spans="1:10" ht="12.75" customHeight="1">
      <c r="A19" s="274" t="s">
        <v>152</v>
      </c>
      <c r="B19" s="145"/>
      <c r="C19" s="145"/>
      <c r="D19" s="145"/>
      <c r="E19" s="145"/>
      <c r="F19" s="145"/>
      <c r="G19" s="145"/>
      <c r="H19" s="145"/>
      <c r="I19" s="145"/>
      <c r="J19" s="146"/>
    </row>
    <row r="20" spans="1:10" ht="12.75" customHeight="1">
      <c r="A20" s="268" t="s">
        <v>153</v>
      </c>
      <c r="B20" s="161"/>
      <c r="C20" s="161"/>
      <c r="D20" s="161"/>
      <c r="E20" s="161"/>
      <c r="F20" s="161"/>
      <c r="G20" s="161"/>
      <c r="H20" s="161"/>
      <c r="I20" s="161"/>
      <c r="J20" s="162"/>
    </row>
    <row r="21" spans="1:10" ht="12.75" customHeight="1">
      <c r="A21" s="268" t="s">
        <v>154</v>
      </c>
      <c r="B21" s="161"/>
      <c r="C21" s="161"/>
      <c r="D21" s="161"/>
      <c r="E21" s="161"/>
      <c r="F21" s="161"/>
      <c r="G21" s="161"/>
      <c r="H21" s="161"/>
      <c r="I21" s="161"/>
      <c r="J21" s="162"/>
    </row>
    <row r="22" spans="1:10" ht="12.75" customHeight="1">
      <c r="A22" s="271" t="s">
        <v>155</v>
      </c>
      <c r="B22" s="260"/>
      <c r="C22" s="260"/>
      <c r="D22" s="260"/>
      <c r="E22" s="260"/>
      <c r="F22" s="260"/>
      <c r="G22" s="260"/>
      <c r="H22" s="260"/>
      <c r="I22" s="260"/>
      <c r="J22" s="261"/>
    </row>
    <row r="23" spans="1:10" ht="12.75" customHeight="1">
      <c r="A23" s="275" t="s">
        <v>914</v>
      </c>
      <c r="B23" s="171"/>
      <c r="C23" s="171"/>
      <c r="D23" s="171"/>
      <c r="E23" s="171"/>
      <c r="F23" s="171"/>
      <c r="G23" s="171"/>
      <c r="H23" s="171"/>
      <c r="I23" s="171"/>
      <c r="J23" s="172"/>
    </row>
    <row r="24" spans="1:10" ht="12.75" customHeight="1">
      <c r="A24" s="152"/>
      <c r="B24" s="150"/>
      <c r="C24" s="150"/>
      <c r="D24" s="150"/>
      <c r="E24" s="150"/>
      <c r="F24" s="150"/>
      <c r="G24" s="150"/>
      <c r="H24" s="150"/>
      <c r="I24" s="150"/>
      <c r="J24" s="151"/>
    </row>
    <row r="25" spans="1:10" ht="12.75" customHeight="1">
      <c r="A25" s="152"/>
      <c r="B25" s="150"/>
      <c r="C25" s="150"/>
      <c r="D25" s="150"/>
      <c r="E25" s="150"/>
      <c r="F25" s="150"/>
      <c r="G25" s="150"/>
      <c r="H25" s="150"/>
      <c r="I25" s="150"/>
      <c r="J25" s="151"/>
    </row>
    <row r="26" spans="1:10" ht="12.75" customHeight="1">
      <c r="A26" s="152"/>
      <c r="B26" s="150"/>
      <c r="C26" s="150"/>
      <c r="D26" s="150"/>
      <c r="E26" s="150"/>
      <c r="F26" s="150"/>
      <c r="G26" s="150"/>
      <c r="H26" s="150"/>
      <c r="I26" s="150"/>
      <c r="J26" s="151"/>
    </row>
    <row r="27" spans="1:10" ht="12.75" customHeight="1">
      <c r="A27" s="152"/>
      <c r="B27" s="150"/>
      <c r="C27" s="150"/>
      <c r="D27" s="150"/>
      <c r="E27" s="150"/>
      <c r="F27" s="150"/>
      <c r="G27" s="150"/>
      <c r="H27" s="150"/>
      <c r="I27" s="150"/>
      <c r="J27" s="151"/>
    </row>
    <row r="28" spans="1:10" ht="12.75" customHeight="1">
      <c r="A28" s="152"/>
      <c r="B28" s="150"/>
      <c r="C28" s="150"/>
      <c r="D28" s="150"/>
      <c r="E28" s="150"/>
      <c r="F28" s="150"/>
      <c r="G28" s="150"/>
      <c r="H28" s="150"/>
      <c r="I28" s="150"/>
      <c r="J28" s="151"/>
    </row>
    <row r="29" spans="1:10" ht="12.75" customHeight="1">
      <c r="A29" s="152"/>
      <c r="B29" s="150"/>
      <c r="C29" s="150"/>
      <c r="D29" s="150"/>
      <c r="E29" s="150"/>
      <c r="F29" s="150"/>
      <c r="G29" s="150"/>
      <c r="H29" s="150"/>
      <c r="I29" s="150"/>
      <c r="J29" s="151"/>
    </row>
    <row r="30" spans="1:10" ht="12.75" customHeight="1">
      <c r="A30" s="152"/>
      <c r="B30" s="150"/>
      <c r="C30" s="150"/>
      <c r="D30" s="150"/>
      <c r="E30" s="150"/>
      <c r="F30" s="150"/>
      <c r="G30" s="150"/>
      <c r="H30" s="150"/>
      <c r="I30" s="150"/>
      <c r="J30" s="151"/>
    </row>
    <row r="31" spans="1:10" ht="12.75" customHeight="1">
      <c r="A31" s="152"/>
      <c r="B31" s="150"/>
      <c r="C31" s="150"/>
      <c r="D31" s="150"/>
      <c r="E31" s="150"/>
      <c r="F31" s="150"/>
      <c r="G31" s="150"/>
      <c r="H31" s="150"/>
      <c r="I31" s="150"/>
      <c r="J31" s="151"/>
    </row>
    <row r="32" spans="1:10" ht="12.75" customHeight="1">
      <c r="A32" s="152"/>
      <c r="B32" s="150"/>
      <c r="C32" s="150"/>
      <c r="D32" s="150"/>
      <c r="E32" s="150"/>
      <c r="F32" s="150"/>
      <c r="G32" s="150"/>
      <c r="H32" s="150"/>
      <c r="I32" s="150"/>
      <c r="J32" s="151"/>
    </row>
    <row r="33" spans="1:10" ht="12.75" customHeight="1">
      <c r="A33" s="152"/>
      <c r="B33" s="150"/>
      <c r="C33" s="150"/>
      <c r="D33" s="150"/>
      <c r="E33" s="150"/>
      <c r="F33" s="150"/>
      <c r="G33" s="150"/>
      <c r="H33" s="150"/>
      <c r="I33" s="150"/>
      <c r="J33" s="151"/>
    </row>
    <row r="34" spans="1:10" ht="12.75" customHeight="1">
      <c r="A34" s="152"/>
      <c r="B34" s="150"/>
      <c r="C34" s="150"/>
      <c r="D34" s="150"/>
      <c r="E34" s="150"/>
      <c r="F34" s="150"/>
      <c r="G34" s="150"/>
      <c r="H34" s="150"/>
      <c r="I34" s="150"/>
      <c r="J34" s="151"/>
    </row>
    <row r="35" spans="1:10" ht="12.75" customHeight="1">
      <c r="A35" s="152"/>
      <c r="B35" s="150"/>
      <c r="C35" s="150"/>
      <c r="D35" s="150"/>
      <c r="E35" s="150"/>
      <c r="F35" s="150"/>
      <c r="G35" s="150"/>
      <c r="H35" s="150"/>
      <c r="I35" s="150"/>
      <c r="J35" s="151"/>
    </row>
    <row r="36" spans="1:10" ht="12.75" customHeight="1">
      <c r="A36" s="152"/>
      <c r="B36" s="150"/>
      <c r="C36" s="150"/>
      <c r="D36" s="150"/>
      <c r="E36" s="150"/>
      <c r="F36" s="150"/>
      <c r="G36" s="150"/>
      <c r="H36" s="150"/>
      <c r="I36" s="150"/>
      <c r="J36" s="151"/>
    </row>
    <row r="37" spans="1:10" ht="12.75" customHeight="1">
      <c r="A37" s="152"/>
      <c r="B37" s="150"/>
      <c r="C37" s="150"/>
      <c r="D37" s="150"/>
      <c r="E37" s="150"/>
      <c r="F37" s="150"/>
      <c r="G37" s="150"/>
      <c r="H37" s="150"/>
      <c r="I37" s="150"/>
      <c r="J37" s="151"/>
    </row>
    <row r="38" spans="1:10" ht="12.75" customHeight="1">
      <c r="A38" s="152"/>
      <c r="B38" s="150"/>
      <c r="C38" s="150"/>
      <c r="D38" s="150"/>
      <c r="E38" s="150"/>
      <c r="F38" s="150"/>
      <c r="G38" s="150"/>
      <c r="H38" s="150"/>
      <c r="I38" s="150"/>
      <c r="J38" s="151"/>
    </row>
    <row r="39" spans="1:10" ht="12.75" customHeight="1">
      <c r="A39" s="152"/>
      <c r="B39" s="150"/>
      <c r="C39" s="150"/>
      <c r="D39" s="150"/>
      <c r="E39" s="150"/>
      <c r="F39" s="150"/>
      <c r="G39" s="150"/>
      <c r="H39" s="150"/>
      <c r="I39" s="150"/>
      <c r="J39" s="151"/>
    </row>
    <row r="40" spans="1:10" ht="12.75" customHeight="1">
      <c r="A40" s="152"/>
      <c r="B40" s="150"/>
      <c r="C40" s="150"/>
      <c r="D40" s="150"/>
      <c r="E40" s="150"/>
      <c r="F40" s="150"/>
      <c r="G40" s="150"/>
      <c r="H40" s="150"/>
      <c r="I40" s="150"/>
      <c r="J40" s="151"/>
    </row>
    <row r="41" spans="1:10" ht="12.75" customHeight="1">
      <c r="A41" s="152"/>
      <c r="B41" s="150"/>
      <c r="C41" s="150"/>
      <c r="D41" s="150"/>
      <c r="E41" s="150"/>
      <c r="F41" s="150"/>
      <c r="G41" s="150"/>
      <c r="H41" s="150"/>
      <c r="I41" s="150"/>
      <c r="J41" s="151"/>
    </row>
    <row r="42" spans="1:10" ht="12.75" customHeight="1">
      <c r="A42" s="152"/>
      <c r="B42" s="150"/>
      <c r="C42" s="150"/>
      <c r="D42" s="150"/>
      <c r="E42" s="150"/>
      <c r="F42" s="150"/>
      <c r="G42" s="150"/>
      <c r="H42" s="150"/>
      <c r="I42" s="150"/>
      <c r="J42" s="151"/>
    </row>
    <row r="43" spans="1:10" ht="12.75" customHeight="1">
      <c r="A43" s="152"/>
      <c r="B43" s="150"/>
      <c r="C43" s="150"/>
      <c r="D43" s="150"/>
      <c r="E43" s="150"/>
      <c r="F43" s="150"/>
      <c r="G43" s="150"/>
      <c r="H43" s="150"/>
      <c r="I43" s="150"/>
      <c r="J43" s="151"/>
    </row>
    <row r="44" spans="1:10" ht="12.75" customHeight="1">
      <c r="A44" s="152"/>
      <c r="B44" s="150"/>
      <c r="C44" s="150"/>
      <c r="D44" s="150"/>
      <c r="E44" s="150"/>
      <c r="F44" s="150"/>
      <c r="G44" s="150"/>
      <c r="H44" s="150"/>
      <c r="I44" s="150"/>
      <c r="J44" s="151"/>
    </row>
    <row r="45" spans="1:10" ht="12.75" customHeight="1">
      <c r="A45" s="152"/>
      <c r="B45" s="150"/>
      <c r="C45" s="150"/>
      <c r="D45" s="150"/>
      <c r="E45" s="150"/>
      <c r="F45" s="150"/>
      <c r="G45" s="150"/>
      <c r="H45" s="150"/>
      <c r="I45" s="150"/>
      <c r="J45" s="151"/>
    </row>
    <row r="46" spans="1:10" ht="12.75" customHeight="1">
      <c r="A46" s="152"/>
      <c r="B46" s="150"/>
      <c r="C46" s="150"/>
      <c r="D46" s="150"/>
      <c r="E46" s="150"/>
      <c r="F46" s="150"/>
      <c r="G46" s="150"/>
      <c r="H46" s="150"/>
      <c r="I46" s="150"/>
      <c r="J46" s="151"/>
    </row>
    <row r="47" spans="1:10" ht="12.75" customHeight="1">
      <c r="A47" s="152"/>
      <c r="B47" s="150"/>
      <c r="C47" s="150"/>
      <c r="D47" s="150"/>
      <c r="E47" s="150"/>
      <c r="F47" s="150"/>
      <c r="G47" s="150"/>
      <c r="H47" s="150"/>
      <c r="I47" s="150"/>
      <c r="J47" s="151"/>
    </row>
    <row r="48" spans="1:10" ht="12.75" customHeight="1">
      <c r="A48" s="152"/>
      <c r="B48" s="150"/>
      <c r="C48" s="150"/>
      <c r="D48" s="150"/>
      <c r="E48" s="150"/>
      <c r="F48" s="150"/>
      <c r="G48" s="150"/>
      <c r="H48" s="150"/>
      <c r="I48" s="150"/>
      <c r="J48" s="151"/>
    </row>
    <row r="49" spans="1:10" ht="12.75" customHeight="1">
      <c r="A49" s="152"/>
      <c r="B49" s="150"/>
      <c r="C49" s="150"/>
      <c r="D49" s="150"/>
      <c r="E49" s="150"/>
      <c r="F49" s="150"/>
      <c r="G49" s="150"/>
      <c r="H49" s="150"/>
      <c r="I49" s="150"/>
      <c r="J49" s="151"/>
    </row>
    <row r="50" spans="1:10" ht="12.75" customHeight="1">
      <c r="A50" s="152"/>
      <c r="B50" s="150"/>
      <c r="C50" s="150"/>
      <c r="D50" s="150"/>
      <c r="E50" s="150"/>
      <c r="F50" s="150"/>
      <c r="G50" s="150"/>
      <c r="H50" s="150"/>
      <c r="I50" s="150"/>
      <c r="J50" s="151"/>
    </row>
    <row r="51" spans="1:10" ht="12.75" customHeight="1">
      <c r="A51" s="152"/>
      <c r="B51" s="150"/>
      <c r="C51" s="150"/>
      <c r="D51" s="150"/>
      <c r="E51" s="150"/>
      <c r="F51" s="150"/>
      <c r="G51" s="150"/>
      <c r="H51" s="150"/>
      <c r="I51" s="150"/>
      <c r="J51" s="151"/>
    </row>
    <row r="52" spans="1:10" ht="12.75" customHeight="1">
      <c r="A52" s="152"/>
      <c r="B52" s="150"/>
      <c r="C52" s="150"/>
      <c r="D52" s="150"/>
      <c r="E52" s="150"/>
      <c r="F52" s="150"/>
      <c r="G52" s="150"/>
      <c r="H52" s="150"/>
      <c r="I52" s="150"/>
      <c r="J52" s="151"/>
    </row>
    <row r="53" spans="1:10" ht="12.75" customHeight="1">
      <c r="A53" s="152"/>
      <c r="B53" s="150"/>
      <c r="C53" s="150"/>
      <c r="D53" s="150"/>
      <c r="E53" s="150"/>
      <c r="F53" s="150"/>
      <c r="G53" s="150"/>
      <c r="H53" s="150"/>
      <c r="I53" s="150"/>
      <c r="J53" s="151"/>
    </row>
    <row r="54" spans="1:10" ht="12.75" customHeight="1">
      <c r="A54" s="170"/>
      <c r="B54" s="157"/>
      <c r="C54" s="157"/>
      <c r="D54" s="157"/>
      <c r="E54" s="157"/>
      <c r="F54" s="157"/>
      <c r="G54" s="157"/>
      <c r="H54" s="157"/>
      <c r="I54" s="157"/>
      <c r="J54" s="158"/>
    </row>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sheetData>
  <mergeCells count="60">
    <mergeCell ref="A17:D17"/>
    <mergeCell ref="E17:F17"/>
    <mergeCell ref="G17:H17"/>
    <mergeCell ref="I17:J17"/>
    <mergeCell ref="A18:D18"/>
    <mergeCell ref="E18:F18"/>
    <mergeCell ref="G18:H18"/>
    <mergeCell ref="I18:J18"/>
    <mergeCell ref="A19:J19"/>
    <mergeCell ref="A20:J20"/>
    <mergeCell ref="A21:J21"/>
    <mergeCell ref="A22:J22"/>
    <mergeCell ref="A23:J54"/>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2:D12"/>
    <mergeCell ref="E12:F12"/>
    <mergeCell ref="G12:H12"/>
    <mergeCell ref="I12:J12"/>
    <mergeCell ref="A9:D9"/>
    <mergeCell ref="E9:F9"/>
    <mergeCell ref="G9:H9"/>
    <mergeCell ref="I9:J9"/>
    <mergeCell ref="A10:D10"/>
    <mergeCell ref="E10:F10"/>
    <mergeCell ref="G10:H10"/>
    <mergeCell ref="I10:J10"/>
    <mergeCell ref="A8:D8"/>
    <mergeCell ref="E8:F8"/>
    <mergeCell ref="G8:H8"/>
    <mergeCell ref="I8:J8"/>
    <mergeCell ref="A11:D11"/>
    <mergeCell ref="E11:F11"/>
    <mergeCell ref="G11:H11"/>
    <mergeCell ref="I11:J11"/>
    <mergeCell ref="A6:D6"/>
    <mergeCell ref="E6:J6"/>
    <mergeCell ref="E7:F7"/>
    <mergeCell ref="G7:H7"/>
    <mergeCell ref="I7:J7"/>
    <mergeCell ref="A1:G1"/>
    <mergeCell ref="H1:J1"/>
    <mergeCell ref="A3:J3"/>
    <mergeCell ref="A4:D4"/>
    <mergeCell ref="E4:J5"/>
    <mergeCell ref="A5:D5"/>
  </mergeCells>
  <dataValidations count="4">
    <dataValidation type="decimal" allowBlank="1" showInputMessage="1" showErrorMessage="1" prompt="Must enter amount in whole dollars." sqref="E8:E13 G8:G13 I8:I13 E15:E17" xr:uid="{26AF0934-D74F-47C2-8418-019208D961A0}">
      <formula1>0</formula1>
      <formula2>50000000</formula2>
    </dataValidation>
    <dataValidation type="list" allowBlank="1" showInputMessage="1" showErrorMessage="1" prompt="Please select from the drop down list." sqref="E6" xr:uid="{247DFDE4-0471-4049-B7E7-64EC949CD252}">
      <formula1>Expenditures</formula1>
    </dataValidation>
    <dataValidation type="custom" allowBlank="1" showInputMessage="1" showErrorMessage="1" prompt="Leave Blank or Describe Other Expenditure. " sqref="A15:A17" xr:uid="{981C6D81-AAF1-485A-8818-C1E6B695C2E8}">
      <formula1>AND(GTE(LEN(A15),MIN((1),(35))),LTE(LEN(A15),MAX((1),(35))))</formula1>
    </dataValidation>
    <dataValidation type="decimal" allowBlank="1" showInputMessage="1" showErrorMessage="1" prompt="Leave blank or enter amount in whole dollars." sqref="G15:G17 I15:I17" xr:uid="{D4A2A5C7-0DED-45F8-99F5-0CAC5FE2EDAF}">
      <formula1>0</formula1>
      <formula2>50000000</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FE69-12B9-495E-83E4-37B38A57BADC}">
  <dimension ref="A1:J239"/>
  <sheetViews>
    <sheetView workbookViewId="0">
      <selection activeCell="M29" sqref="M29"/>
    </sheetView>
  </sheetViews>
  <sheetFormatPr defaultColWidth="12.5703125" defaultRowHeight="15" customHeight="1"/>
  <cols>
    <col min="1" max="26" width="8.85546875" customWidth="1"/>
  </cols>
  <sheetData>
    <row r="1" spans="1:10" ht="12.75" customHeight="1">
      <c r="A1" s="210" t="s">
        <v>65</v>
      </c>
      <c r="B1" s="167"/>
      <c r="C1" s="167"/>
      <c r="D1" s="167"/>
      <c r="E1" s="167"/>
      <c r="F1" s="167"/>
      <c r="G1" s="189"/>
      <c r="H1" s="211" t="str">
        <f>'CONTACT INFORMATION'!$A$24</f>
        <v>Yolo</v>
      </c>
      <c r="I1" s="167"/>
      <c r="J1" s="168"/>
    </row>
    <row r="2" spans="1:10" ht="12.75" customHeight="1">
      <c r="A2" s="114"/>
      <c r="B2" s="114"/>
      <c r="C2" s="114"/>
      <c r="D2" s="114"/>
      <c r="E2" s="114"/>
      <c r="F2" s="114"/>
      <c r="G2" s="114"/>
      <c r="H2" s="114"/>
      <c r="I2" s="114"/>
      <c r="J2" s="114"/>
    </row>
    <row r="3" spans="1:10" ht="12.75" customHeight="1">
      <c r="A3" s="256" t="s">
        <v>912</v>
      </c>
      <c r="B3" s="167"/>
      <c r="C3" s="167"/>
      <c r="D3" s="167"/>
      <c r="E3" s="167"/>
      <c r="F3" s="167"/>
      <c r="G3" s="167"/>
      <c r="H3" s="167"/>
      <c r="I3" s="167"/>
      <c r="J3" s="168"/>
    </row>
    <row r="4" spans="1:10" ht="12.75" customHeight="1">
      <c r="A4" s="257" t="s">
        <v>140</v>
      </c>
      <c r="B4" s="145"/>
      <c r="C4" s="145"/>
      <c r="D4" s="146"/>
      <c r="E4" s="258"/>
      <c r="F4" s="171"/>
      <c r="G4" s="171"/>
      <c r="H4" s="171"/>
      <c r="I4" s="171"/>
      <c r="J4" s="172"/>
    </row>
    <row r="5" spans="1:10" ht="12.75" customHeight="1">
      <c r="A5" s="259" t="s">
        <v>156</v>
      </c>
      <c r="B5" s="260"/>
      <c r="C5" s="260"/>
      <c r="D5" s="261"/>
      <c r="E5" s="170"/>
      <c r="F5" s="157"/>
      <c r="G5" s="157"/>
      <c r="H5" s="157"/>
      <c r="I5" s="157"/>
      <c r="J5" s="158"/>
    </row>
    <row r="6" spans="1:10" ht="12.75" customHeight="1">
      <c r="A6" s="253" t="s">
        <v>157</v>
      </c>
      <c r="B6" s="167"/>
      <c r="C6" s="167"/>
      <c r="D6" s="168"/>
      <c r="E6" s="193" t="s">
        <v>119</v>
      </c>
      <c r="F6" s="167"/>
      <c r="G6" s="167"/>
      <c r="H6" s="167"/>
      <c r="I6" s="167"/>
      <c r="J6" s="168"/>
    </row>
    <row r="7" spans="1:10" ht="12.75" customHeight="1">
      <c r="A7" s="115"/>
      <c r="B7" s="113"/>
      <c r="C7" s="113"/>
      <c r="D7" s="113"/>
      <c r="E7" s="254" t="s">
        <v>141</v>
      </c>
      <c r="F7" s="157"/>
      <c r="G7" s="254" t="s">
        <v>142</v>
      </c>
      <c r="H7" s="157"/>
      <c r="I7" s="255" t="s">
        <v>143</v>
      </c>
      <c r="J7" s="158"/>
    </row>
    <row r="8" spans="1:10" ht="12.75" customHeight="1">
      <c r="A8" s="197" t="s">
        <v>144</v>
      </c>
      <c r="B8" s="167"/>
      <c r="C8" s="167"/>
      <c r="D8" s="168"/>
      <c r="E8" s="266">
        <v>0</v>
      </c>
      <c r="F8" s="168"/>
      <c r="G8" s="266"/>
      <c r="H8" s="168"/>
      <c r="I8" s="267"/>
      <c r="J8" s="168"/>
    </row>
    <row r="9" spans="1:10" ht="12.75" customHeight="1">
      <c r="A9" s="262" t="s">
        <v>145</v>
      </c>
      <c r="B9" s="167"/>
      <c r="C9" s="167"/>
      <c r="D9" s="168"/>
      <c r="E9" s="263">
        <v>655</v>
      </c>
      <c r="F9" s="168"/>
      <c r="G9" s="264">
        <v>3927</v>
      </c>
      <c r="H9" s="168"/>
      <c r="I9" s="265"/>
      <c r="J9" s="168"/>
    </row>
    <row r="10" spans="1:10" ht="12.75" customHeight="1">
      <c r="A10" s="197" t="s">
        <v>146</v>
      </c>
      <c r="B10" s="167"/>
      <c r="C10" s="167"/>
      <c r="D10" s="168"/>
      <c r="E10" s="266"/>
      <c r="F10" s="168"/>
      <c r="G10" s="266"/>
      <c r="H10" s="168"/>
      <c r="I10" s="267"/>
      <c r="J10" s="168"/>
    </row>
    <row r="11" spans="1:10" ht="12.75" customHeight="1">
      <c r="A11" s="262" t="s">
        <v>147</v>
      </c>
      <c r="B11" s="167"/>
      <c r="C11" s="167"/>
      <c r="D11" s="168"/>
      <c r="E11" s="263"/>
      <c r="F11" s="168"/>
      <c r="G11" s="264"/>
      <c r="H11" s="168"/>
      <c r="I11" s="265"/>
      <c r="J11" s="168"/>
    </row>
    <row r="12" spans="1:10" ht="12.75" customHeight="1">
      <c r="A12" s="197" t="s">
        <v>148</v>
      </c>
      <c r="B12" s="167"/>
      <c r="C12" s="167"/>
      <c r="D12" s="168"/>
      <c r="E12" s="266"/>
      <c r="F12" s="168"/>
      <c r="G12" s="266"/>
      <c r="H12" s="168"/>
      <c r="I12" s="267"/>
      <c r="J12" s="168"/>
    </row>
    <row r="13" spans="1:10" ht="12.75" customHeight="1">
      <c r="A13" s="262" t="s">
        <v>149</v>
      </c>
      <c r="B13" s="167"/>
      <c r="C13" s="167"/>
      <c r="D13" s="168"/>
      <c r="E13" s="263"/>
      <c r="F13" s="168"/>
      <c r="G13" s="264"/>
      <c r="H13" s="168"/>
      <c r="I13" s="265"/>
      <c r="J13" s="168"/>
    </row>
    <row r="14" spans="1:10" ht="12.75" customHeight="1">
      <c r="A14" s="197" t="s">
        <v>150</v>
      </c>
      <c r="B14" s="167"/>
      <c r="C14" s="167"/>
      <c r="D14" s="168"/>
      <c r="E14" s="270"/>
      <c r="F14" s="168"/>
      <c r="G14" s="270"/>
      <c r="H14" s="168"/>
      <c r="I14" s="269"/>
      <c r="J14" s="168"/>
    </row>
    <row r="15" spans="1:10" ht="12.75" customHeight="1">
      <c r="A15" s="272"/>
      <c r="B15" s="167"/>
      <c r="C15" s="167"/>
      <c r="D15" s="168"/>
      <c r="E15" s="263"/>
      <c r="F15" s="168"/>
      <c r="G15" s="264"/>
      <c r="H15" s="168"/>
      <c r="I15" s="264"/>
      <c r="J15" s="168"/>
    </row>
    <row r="16" spans="1:10" ht="12.75" customHeight="1">
      <c r="A16" s="272"/>
      <c r="B16" s="167"/>
      <c r="C16" s="167"/>
      <c r="D16" s="168"/>
      <c r="E16" s="263"/>
      <c r="F16" s="168"/>
      <c r="G16" s="264"/>
      <c r="H16" s="168"/>
      <c r="I16" s="264"/>
      <c r="J16" s="168"/>
    </row>
    <row r="17" spans="1:10" ht="12.75" customHeight="1">
      <c r="A17" s="272"/>
      <c r="B17" s="167"/>
      <c r="C17" s="167"/>
      <c r="D17" s="168"/>
      <c r="E17" s="263"/>
      <c r="F17" s="168"/>
      <c r="G17" s="264"/>
      <c r="H17" s="168"/>
      <c r="I17" s="264"/>
      <c r="J17" s="168"/>
    </row>
    <row r="18" spans="1:10" ht="12.75" customHeight="1">
      <c r="A18" s="201" t="s">
        <v>151</v>
      </c>
      <c r="B18" s="167"/>
      <c r="C18" s="167"/>
      <c r="D18" s="168"/>
      <c r="E18" s="273">
        <f>SUM(E8:E17)</f>
        <v>655</v>
      </c>
      <c r="F18" s="168"/>
      <c r="G18" s="273">
        <f>SUM(G8:G17)</f>
        <v>3927</v>
      </c>
      <c r="H18" s="168"/>
      <c r="I18" s="273">
        <f>SUM(I8:I17)</f>
        <v>0</v>
      </c>
      <c r="J18" s="168"/>
    </row>
    <row r="19" spans="1:10" ht="12.75" customHeight="1">
      <c r="A19" s="274" t="s">
        <v>152</v>
      </c>
      <c r="B19" s="145"/>
      <c r="C19" s="145"/>
      <c r="D19" s="145"/>
      <c r="E19" s="145"/>
      <c r="F19" s="145"/>
      <c r="G19" s="145"/>
      <c r="H19" s="145"/>
      <c r="I19" s="145"/>
      <c r="J19" s="146"/>
    </row>
    <row r="20" spans="1:10" ht="12.75" customHeight="1">
      <c r="A20" s="268" t="s">
        <v>153</v>
      </c>
      <c r="B20" s="161"/>
      <c r="C20" s="161"/>
      <c r="D20" s="161"/>
      <c r="E20" s="161"/>
      <c r="F20" s="161"/>
      <c r="G20" s="161"/>
      <c r="H20" s="161"/>
      <c r="I20" s="161"/>
      <c r="J20" s="162"/>
    </row>
    <row r="21" spans="1:10" ht="12.75" customHeight="1">
      <c r="A21" s="268" t="s">
        <v>154</v>
      </c>
      <c r="B21" s="161"/>
      <c r="C21" s="161"/>
      <c r="D21" s="161"/>
      <c r="E21" s="161"/>
      <c r="F21" s="161"/>
      <c r="G21" s="161"/>
      <c r="H21" s="161"/>
      <c r="I21" s="161"/>
      <c r="J21" s="162"/>
    </row>
    <row r="22" spans="1:10" ht="12.75" customHeight="1">
      <c r="A22" s="271" t="s">
        <v>155</v>
      </c>
      <c r="B22" s="260"/>
      <c r="C22" s="260"/>
      <c r="D22" s="260"/>
      <c r="E22" s="260"/>
      <c r="F22" s="260"/>
      <c r="G22" s="260"/>
      <c r="H22" s="260"/>
      <c r="I22" s="260"/>
      <c r="J22" s="261"/>
    </row>
    <row r="23" spans="1:10" ht="12.75" customHeight="1">
      <c r="A23" s="177" t="s">
        <v>921</v>
      </c>
      <c r="B23" s="171"/>
      <c r="C23" s="171"/>
      <c r="D23" s="171"/>
      <c r="E23" s="171"/>
      <c r="F23" s="171"/>
      <c r="G23" s="171"/>
      <c r="H23" s="171"/>
      <c r="I23" s="171"/>
      <c r="J23" s="172"/>
    </row>
    <row r="24" spans="1:10" ht="12.75" customHeight="1">
      <c r="A24" s="152"/>
      <c r="B24" s="150"/>
      <c r="C24" s="150"/>
      <c r="D24" s="150"/>
      <c r="E24" s="150"/>
      <c r="F24" s="150"/>
      <c r="G24" s="150"/>
      <c r="H24" s="150"/>
      <c r="I24" s="150"/>
      <c r="J24" s="151"/>
    </row>
    <row r="25" spans="1:10" ht="12.75" customHeight="1">
      <c r="A25" s="152"/>
      <c r="B25" s="150"/>
      <c r="C25" s="150"/>
      <c r="D25" s="150"/>
      <c r="E25" s="150"/>
      <c r="F25" s="150"/>
      <c r="G25" s="150"/>
      <c r="H25" s="150"/>
      <c r="I25" s="150"/>
      <c r="J25" s="151"/>
    </row>
    <row r="26" spans="1:10" ht="12.75" customHeight="1">
      <c r="A26" s="152"/>
      <c r="B26" s="150"/>
      <c r="C26" s="150"/>
      <c r="D26" s="150"/>
      <c r="E26" s="150"/>
      <c r="F26" s="150"/>
      <c r="G26" s="150"/>
      <c r="H26" s="150"/>
      <c r="I26" s="150"/>
      <c r="J26" s="151"/>
    </row>
    <row r="27" spans="1:10" ht="12.75" customHeight="1">
      <c r="A27" s="152"/>
      <c r="B27" s="150"/>
      <c r="C27" s="150"/>
      <c r="D27" s="150"/>
      <c r="E27" s="150"/>
      <c r="F27" s="150"/>
      <c r="G27" s="150"/>
      <c r="H27" s="150"/>
      <c r="I27" s="150"/>
      <c r="J27" s="151"/>
    </row>
    <row r="28" spans="1:10" ht="12.75" customHeight="1">
      <c r="A28" s="152"/>
      <c r="B28" s="150"/>
      <c r="C28" s="150"/>
      <c r="D28" s="150"/>
      <c r="E28" s="150"/>
      <c r="F28" s="150"/>
      <c r="G28" s="150"/>
      <c r="H28" s="150"/>
      <c r="I28" s="150"/>
      <c r="J28" s="151"/>
    </row>
    <row r="29" spans="1:10" ht="12.75" customHeight="1">
      <c r="A29" s="152"/>
      <c r="B29" s="150"/>
      <c r="C29" s="150"/>
      <c r="D29" s="150"/>
      <c r="E29" s="150"/>
      <c r="F29" s="150"/>
      <c r="G29" s="150"/>
      <c r="H29" s="150"/>
      <c r="I29" s="150"/>
      <c r="J29" s="151"/>
    </row>
    <row r="30" spans="1:10" ht="12.75" customHeight="1">
      <c r="A30" s="152"/>
      <c r="B30" s="150"/>
      <c r="C30" s="150"/>
      <c r="D30" s="150"/>
      <c r="E30" s="150"/>
      <c r="F30" s="150"/>
      <c r="G30" s="150"/>
      <c r="H30" s="150"/>
      <c r="I30" s="150"/>
      <c r="J30" s="151"/>
    </row>
    <row r="31" spans="1:10" ht="12.75" customHeight="1">
      <c r="A31" s="152"/>
      <c r="B31" s="150"/>
      <c r="C31" s="150"/>
      <c r="D31" s="150"/>
      <c r="E31" s="150"/>
      <c r="F31" s="150"/>
      <c r="G31" s="150"/>
      <c r="H31" s="150"/>
      <c r="I31" s="150"/>
      <c r="J31" s="151"/>
    </row>
    <row r="32" spans="1:10" ht="12.75" customHeight="1">
      <c r="A32" s="152"/>
      <c r="B32" s="150"/>
      <c r="C32" s="150"/>
      <c r="D32" s="150"/>
      <c r="E32" s="150"/>
      <c r="F32" s="150"/>
      <c r="G32" s="150"/>
      <c r="H32" s="150"/>
      <c r="I32" s="150"/>
      <c r="J32" s="151"/>
    </row>
    <row r="33" spans="1:10" ht="12.75" customHeight="1">
      <c r="A33" s="152"/>
      <c r="B33" s="150"/>
      <c r="C33" s="150"/>
      <c r="D33" s="150"/>
      <c r="E33" s="150"/>
      <c r="F33" s="150"/>
      <c r="G33" s="150"/>
      <c r="H33" s="150"/>
      <c r="I33" s="150"/>
      <c r="J33" s="151"/>
    </row>
    <row r="34" spans="1:10" ht="12.75" customHeight="1">
      <c r="A34" s="152"/>
      <c r="B34" s="150"/>
      <c r="C34" s="150"/>
      <c r="D34" s="150"/>
      <c r="E34" s="150"/>
      <c r="F34" s="150"/>
      <c r="G34" s="150"/>
      <c r="H34" s="150"/>
      <c r="I34" s="150"/>
      <c r="J34" s="151"/>
    </row>
    <row r="35" spans="1:10" ht="12.75" customHeight="1">
      <c r="A35" s="152"/>
      <c r="B35" s="150"/>
      <c r="C35" s="150"/>
      <c r="D35" s="150"/>
      <c r="E35" s="150"/>
      <c r="F35" s="150"/>
      <c r="G35" s="150"/>
      <c r="H35" s="150"/>
      <c r="I35" s="150"/>
      <c r="J35" s="151"/>
    </row>
    <row r="36" spans="1:10" ht="12.75" customHeight="1">
      <c r="A36" s="152"/>
      <c r="B36" s="150"/>
      <c r="C36" s="150"/>
      <c r="D36" s="150"/>
      <c r="E36" s="150"/>
      <c r="F36" s="150"/>
      <c r="G36" s="150"/>
      <c r="H36" s="150"/>
      <c r="I36" s="150"/>
      <c r="J36" s="151"/>
    </row>
    <row r="37" spans="1:10" ht="12.75" customHeight="1">
      <c r="A37" s="152"/>
      <c r="B37" s="150"/>
      <c r="C37" s="150"/>
      <c r="D37" s="150"/>
      <c r="E37" s="150"/>
      <c r="F37" s="150"/>
      <c r="G37" s="150"/>
      <c r="H37" s="150"/>
      <c r="I37" s="150"/>
      <c r="J37" s="151"/>
    </row>
    <row r="38" spans="1:10" ht="12.75" customHeight="1">
      <c r="A38" s="152"/>
      <c r="B38" s="150"/>
      <c r="C38" s="150"/>
      <c r="D38" s="150"/>
      <c r="E38" s="150"/>
      <c r="F38" s="150"/>
      <c r="G38" s="150"/>
      <c r="H38" s="150"/>
      <c r="I38" s="150"/>
      <c r="J38" s="151"/>
    </row>
    <row r="39" spans="1:10" ht="12.75" customHeight="1">
      <c r="A39" s="152"/>
      <c r="B39" s="150"/>
      <c r="C39" s="150"/>
      <c r="D39" s="150"/>
      <c r="E39" s="150"/>
      <c r="F39" s="150"/>
      <c r="G39" s="150"/>
      <c r="H39" s="150"/>
      <c r="I39" s="150"/>
      <c r="J39" s="151"/>
    </row>
    <row r="40" spans="1:10" ht="12.75" customHeight="1">
      <c r="A40" s="152"/>
      <c r="B40" s="150"/>
      <c r="C40" s="150"/>
      <c r="D40" s="150"/>
      <c r="E40" s="150"/>
      <c r="F40" s="150"/>
      <c r="G40" s="150"/>
      <c r="H40" s="150"/>
      <c r="I40" s="150"/>
      <c r="J40" s="151"/>
    </row>
    <row r="41" spans="1:10" ht="12.75" customHeight="1">
      <c r="A41" s="152"/>
      <c r="B41" s="150"/>
      <c r="C41" s="150"/>
      <c r="D41" s="150"/>
      <c r="E41" s="150"/>
      <c r="F41" s="150"/>
      <c r="G41" s="150"/>
      <c r="H41" s="150"/>
      <c r="I41" s="150"/>
      <c r="J41" s="151"/>
    </row>
    <row r="42" spans="1:10" ht="12.75" customHeight="1">
      <c r="A42" s="152"/>
      <c r="B42" s="150"/>
      <c r="C42" s="150"/>
      <c r="D42" s="150"/>
      <c r="E42" s="150"/>
      <c r="F42" s="150"/>
      <c r="G42" s="150"/>
      <c r="H42" s="150"/>
      <c r="I42" s="150"/>
      <c r="J42" s="151"/>
    </row>
    <row r="43" spans="1:10" ht="12.75" customHeight="1">
      <c r="A43" s="152"/>
      <c r="B43" s="150"/>
      <c r="C43" s="150"/>
      <c r="D43" s="150"/>
      <c r="E43" s="150"/>
      <c r="F43" s="150"/>
      <c r="G43" s="150"/>
      <c r="H43" s="150"/>
      <c r="I43" s="150"/>
      <c r="J43" s="151"/>
    </row>
    <row r="44" spans="1:10" ht="12.75" customHeight="1">
      <c r="A44" s="152"/>
      <c r="B44" s="150"/>
      <c r="C44" s="150"/>
      <c r="D44" s="150"/>
      <c r="E44" s="150"/>
      <c r="F44" s="150"/>
      <c r="G44" s="150"/>
      <c r="H44" s="150"/>
      <c r="I44" s="150"/>
      <c r="J44" s="151"/>
    </row>
    <row r="45" spans="1:10" ht="12.75" customHeight="1">
      <c r="A45" s="152"/>
      <c r="B45" s="150"/>
      <c r="C45" s="150"/>
      <c r="D45" s="150"/>
      <c r="E45" s="150"/>
      <c r="F45" s="150"/>
      <c r="G45" s="150"/>
      <c r="H45" s="150"/>
      <c r="I45" s="150"/>
      <c r="J45" s="151"/>
    </row>
    <row r="46" spans="1:10" ht="12.75" customHeight="1">
      <c r="A46" s="152"/>
      <c r="B46" s="150"/>
      <c r="C46" s="150"/>
      <c r="D46" s="150"/>
      <c r="E46" s="150"/>
      <c r="F46" s="150"/>
      <c r="G46" s="150"/>
      <c r="H46" s="150"/>
      <c r="I46" s="150"/>
      <c r="J46" s="151"/>
    </row>
    <row r="47" spans="1:10" ht="12.75" customHeight="1">
      <c r="A47" s="152"/>
      <c r="B47" s="150"/>
      <c r="C47" s="150"/>
      <c r="D47" s="150"/>
      <c r="E47" s="150"/>
      <c r="F47" s="150"/>
      <c r="G47" s="150"/>
      <c r="H47" s="150"/>
      <c r="I47" s="150"/>
      <c r="J47" s="151"/>
    </row>
    <row r="48" spans="1:10" ht="12.75" customHeight="1">
      <c r="A48" s="152"/>
      <c r="B48" s="150"/>
      <c r="C48" s="150"/>
      <c r="D48" s="150"/>
      <c r="E48" s="150"/>
      <c r="F48" s="150"/>
      <c r="G48" s="150"/>
      <c r="H48" s="150"/>
      <c r="I48" s="150"/>
      <c r="J48" s="151"/>
    </row>
    <row r="49" spans="1:10" ht="12.75" customHeight="1">
      <c r="A49" s="152"/>
      <c r="B49" s="150"/>
      <c r="C49" s="150"/>
      <c r="D49" s="150"/>
      <c r="E49" s="150"/>
      <c r="F49" s="150"/>
      <c r="G49" s="150"/>
      <c r="H49" s="150"/>
      <c r="I49" s="150"/>
      <c r="J49" s="151"/>
    </row>
    <row r="50" spans="1:10" ht="12.75" customHeight="1">
      <c r="A50" s="152"/>
      <c r="B50" s="150"/>
      <c r="C50" s="150"/>
      <c r="D50" s="150"/>
      <c r="E50" s="150"/>
      <c r="F50" s="150"/>
      <c r="G50" s="150"/>
      <c r="H50" s="150"/>
      <c r="I50" s="150"/>
      <c r="J50" s="151"/>
    </row>
    <row r="51" spans="1:10" ht="12.75" customHeight="1">
      <c r="A51" s="152"/>
      <c r="B51" s="150"/>
      <c r="C51" s="150"/>
      <c r="D51" s="150"/>
      <c r="E51" s="150"/>
      <c r="F51" s="150"/>
      <c r="G51" s="150"/>
      <c r="H51" s="150"/>
      <c r="I51" s="150"/>
      <c r="J51" s="151"/>
    </row>
    <row r="52" spans="1:10" ht="12.75" customHeight="1">
      <c r="A52" s="152"/>
      <c r="B52" s="150"/>
      <c r="C52" s="150"/>
      <c r="D52" s="150"/>
      <c r="E52" s="150"/>
      <c r="F52" s="150"/>
      <c r="G52" s="150"/>
      <c r="H52" s="150"/>
      <c r="I52" s="150"/>
      <c r="J52" s="151"/>
    </row>
    <row r="53" spans="1:10" ht="12.75" customHeight="1">
      <c r="A53" s="152"/>
      <c r="B53" s="150"/>
      <c r="C53" s="150"/>
      <c r="D53" s="150"/>
      <c r="E53" s="150"/>
      <c r="F53" s="150"/>
      <c r="G53" s="150"/>
      <c r="H53" s="150"/>
      <c r="I53" s="150"/>
      <c r="J53" s="151"/>
    </row>
    <row r="54" spans="1:10" ht="12.75" customHeight="1">
      <c r="A54" s="170"/>
      <c r="B54" s="157"/>
      <c r="C54" s="157"/>
      <c r="D54" s="157"/>
      <c r="E54" s="157"/>
      <c r="F54" s="157"/>
      <c r="G54" s="157"/>
      <c r="H54" s="157"/>
      <c r="I54" s="157"/>
      <c r="J54" s="158"/>
    </row>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sheetData>
  <mergeCells count="60">
    <mergeCell ref="A17:D17"/>
    <mergeCell ref="E17:F17"/>
    <mergeCell ref="G17:H17"/>
    <mergeCell ref="I17:J17"/>
    <mergeCell ref="A18:D18"/>
    <mergeCell ref="E18:F18"/>
    <mergeCell ref="G18:H18"/>
    <mergeCell ref="I18:J18"/>
    <mergeCell ref="A19:J19"/>
    <mergeCell ref="A20:J20"/>
    <mergeCell ref="A21:J21"/>
    <mergeCell ref="A22:J22"/>
    <mergeCell ref="A23:J54"/>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2:D12"/>
    <mergeCell ref="E12:F12"/>
    <mergeCell ref="G12:H12"/>
    <mergeCell ref="I12:J12"/>
    <mergeCell ref="A9:D9"/>
    <mergeCell ref="E9:F9"/>
    <mergeCell ref="G9:H9"/>
    <mergeCell ref="I9:J9"/>
    <mergeCell ref="A10:D10"/>
    <mergeCell ref="E10:F10"/>
    <mergeCell ref="G10:H10"/>
    <mergeCell ref="I10:J10"/>
    <mergeCell ref="A8:D8"/>
    <mergeCell ref="E8:F8"/>
    <mergeCell ref="G8:H8"/>
    <mergeCell ref="I8:J8"/>
    <mergeCell ref="A11:D11"/>
    <mergeCell ref="E11:F11"/>
    <mergeCell ref="G11:H11"/>
    <mergeCell ref="I11:J11"/>
    <mergeCell ref="A6:D6"/>
    <mergeCell ref="E6:J6"/>
    <mergeCell ref="E7:F7"/>
    <mergeCell ref="G7:H7"/>
    <mergeCell ref="I7:J7"/>
    <mergeCell ref="A1:G1"/>
    <mergeCell ref="H1:J1"/>
    <mergeCell ref="A3:J3"/>
    <mergeCell ref="A4:D4"/>
    <mergeCell ref="E4:J5"/>
    <mergeCell ref="A5:D5"/>
  </mergeCells>
  <dataValidations count="4">
    <dataValidation type="decimal" allowBlank="1" showInputMessage="1" showErrorMessage="1" prompt="Must enter amount in whole dollars." sqref="E8:E13 G8:G13 I8:I13 E15:E17" xr:uid="{C12B13D2-C430-4C47-9A2C-4E25B1A7B3EC}">
      <formula1>0</formula1>
      <formula2>50000000</formula2>
    </dataValidation>
    <dataValidation type="list" allowBlank="1" showInputMessage="1" showErrorMessage="1" prompt="Please select from the drop down list." sqref="E6" xr:uid="{C2C4505E-D4C4-4E4C-8314-D4661F1240F7}">
      <formula1>Expenditures</formula1>
    </dataValidation>
    <dataValidation type="custom" allowBlank="1" showInputMessage="1" showErrorMessage="1" prompt="Leave Blank or Describe Other Expenditure. " sqref="A15:A17" xr:uid="{17560D28-D42D-4516-A54F-EDF0533E1630}">
      <formula1>AND(GTE(LEN(A15),MIN((1),(35))),LTE(LEN(A15),MAX((1),(35))))</formula1>
    </dataValidation>
    <dataValidation type="decimal" allowBlank="1" showInputMessage="1" showErrorMessage="1" prompt="Leave blank or enter amount in whole dollars." sqref="G15:G17 I15:I17" xr:uid="{14EDF6F7-6571-490F-9218-1343F5CD6FDC}">
      <formula1>0</formula1>
      <formula2>50000000</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281" t="s">
        <v>165</v>
      </c>
      <c r="B1" s="282"/>
      <c r="C1" s="282"/>
      <c r="D1" s="282"/>
      <c r="E1" s="282"/>
      <c r="F1" s="282"/>
      <c r="G1" s="282"/>
      <c r="H1" s="282"/>
      <c r="I1" s="282"/>
      <c r="J1" s="283"/>
      <c r="K1" s="116"/>
      <c r="L1" s="116"/>
      <c r="M1" s="116"/>
      <c r="N1" s="116"/>
      <c r="O1" s="116"/>
      <c r="P1" s="116"/>
      <c r="Q1" s="116"/>
      <c r="R1" s="116"/>
      <c r="S1" s="116"/>
      <c r="T1" s="116"/>
      <c r="U1" s="116"/>
      <c r="V1" s="116"/>
      <c r="W1" s="116"/>
      <c r="X1" s="116"/>
      <c r="Y1" s="116"/>
      <c r="Z1" s="116"/>
    </row>
    <row r="2" spans="1:26" ht="12.75" customHeight="1"/>
    <row r="3" spans="1:26" ht="12.75" customHeight="1">
      <c r="A3" s="210" t="s">
        <v>16</v>
      </c>
      <c r="B3" s="167"/>
      <c r="C3" s="167"/>
      <c r="D3" s="167"/>
      <c r="E3" s="167"/>
      <c r="F3" s="167"/>
      <c r="G3" s="189"/>
      <c r="H3" s="284" t="str">
        <f>'CONTACT INFORMATION'!$A$24</f>
        <v>Yolo</v>
      </c>
      <c r="I3" s="167"/>
      <c r="J3" s="168"/>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78" t="s">
        <v>166</v>
      </c>
      <c r="B6" s="161"/>
      <c r="C6" s="161"/>
      <c r="D6" s="161"/>
      <c r="E6" s="161"/>
      <c r="F6" s="161"/>
      <c r="G6" s="161"/>
      <c r="H6" s="161"/>
      <c r="I6" s="161"/>
      <c r="J6" s="279"/>
    </row>
    <row r="7" spans="1:26" ht="12.75" customHeight="1"/>
    <row r="8" spans="1:26" ht="12.75" customHeight="1"/>
    <row r="9" spans="1:26" ht="22.5" customHeight="1">
      <c r="A9" s="276" t="s">
        <v>167</v>
      </c>
      <c r="B9" s="150"/>
      <c r="C9" s="151"/>
      <c r="D9" s="117" t="s">
        <v>25</v>
      </c>
      <c r="G9" s="276" t="s">
        <v>168</v>
      </c>
      <c r="H9" s="150"/>
      <c r="I9" s="151"/>
      <c r="J9" s="117" t="s">
        <v>25</v>
      </c>
    </row>
    <row r="10" spans="1:26" ht="12.75" customHeight="1">
      <c r="A10" s="243" t="s">
        <v>169</v>
      </c>
      <c r="B10" s="150"/>
      <c r="C10" s="151"/>
      <c r="D10" s="118">
        <f>'REPORT 1'!$I$16</f>
        <v>104</v>
      </c>
      <c r="E10" s="52"/>
      <c r="G10" s="243" t="s">
        <v>169</v>
      </c>
      <c r="H10" s="150"/>
      <c r="I10" s="151"/>
      <c r="J10" s="118">
        <f>'REPORT 1'!$I$27</f>
        <v>104</v>
      </c>
    </row>
    <row r="11" spans="1:26" ht="12.75" customHeight="1"/>
    <row r="12" spans="1:26" ht="12.75" customHeight="1">
      <c r="A12" s="76"/>
      <c r="B12" s="76"/>
      <c r="C12" s="76"/>
      <c r="D12" s="76"/>
      <c r="E12" s="76"/>
      <c r="F12" s="76"/>
      <c r="G12" s="76"/>
      <c r="H12" s="76"/>
      <c r="I12" s="76"/>
      <c r="J12" s="76"/>
    </row>
    <row r="13" spans="1:26" ht="73.5" customHeight="1">
      <c r="A13" s="278" t="s">
        <v>170</v>
      </c>
      <c r="B13" s="161"/>
      <c r="C13" s="161"/>
      <c r="D13" s="161"/>
      <c r="E13" s="161"/>
      <c r="F13" s="161"/>
      <c r="G13" s="161"/>
      <c r="H13" s="161"/>
      <c r="I13" s="161"/>
      <c r="J13" s="279"/>
    </row>
    <row r="14" spans="1:26" ht="12.75" customHeight="1"/>
    <row r="15" spans="1:26" ht="12.75" customHeight="1"/>
    <row r="16" spans="1:26" ht="22.5" customHeight="1">
      <c r="A16" s="276" t="s">
        <v>36</v>
      </c>
      <c r="B16" s="150"/>
      <c r="C16" s="151"/>
      <c r="D16" s="117" t="s">
        <v>25</v>
      </c>
      <c r="G16" s="276" t="s">
        <v>167</v>
      </c>
      <c r="H16" s="150"/>
      <c r="I16" s="151"/>
      <c r="J16" s="117" t="s">
        <v>25</v>
      </c>
    </row>
    <row r="17" spans="1:10" ht="12.75" customHeight="1">
      <c r="D17" s="118">
        <f>'REPORT 3'!$J$9</f>
        <v>53</v>
      </c>
      <c r="G17" s="277" t="s">
        <v>169</v>
      </c>
      <c r="H17" s="150"/>
      <c r="I17" s="151"/>
      <c r="J17" s="118">
        <f>'REPORT 3'!$J$34</f>
        <v>57</v>
      </c>
    </row>
    <row r="18" spans="1:10" ht="12.75" customHeight="1">
      <c r="A18" s="119"/>
      <c r="B18" s="119"/>
      <c r="C18" s="119"/>
    </row>
    <row r="19" spans="1:10" ht="12.75" customHeight="1">
      <c r="A19" s="119"/>
      <c r="B19" s="119"/>
      <c r="C19" s="119"/>
    </row>
    <row r="20" spans="1:10" ht="22.5" customHeight="1">
      <c r="A20" s="276" t="s">
        <v>44</v>
      </c>
      <c r="B20" s="150"/>
      <c r="C20" s="151"/>
      <c r="D20" s="117" t="s">
        <v>25</v>
      </c>
      <c r="G20" s="276" t="s">
        <v>168</v>
      </c>
      <c r="H20" s="150"/>
      <c r="I20" s="151"/>
      <c r="J20" s="117" t="s">
        <v>25</v>
      </c>
    </row>
    <row r="21" spans="1:10" ht="12.75" customHeight="1">
      <c r="A21" s="243"/>
      <c r="B21" s="150"/>
      <c r="C21" s="151"/>
      <c r="D21" s="118">
        <f>'REPORT 3'!$J$26</f>
        <v>22</v>
      </c>
      <c r="G21" s="277" t="s">
        <v>169</v>
      </c>
      <c r="H21" s="150"/>
      <c r="I21" s="151"/>
      <c r="J21" s="118">
        <f>'REPORT 3'!$J$44</f>
        <v>57</v>
      </c>
    </row>
    <row r="22" spans="1:10" ht="12.75" customHeight="1">
      <c r="A22" s="119"/>
      <c r="B22" s="119"/>
      <c r="C22" s="119"/>
    </row>
    <row r="23" spans="1:10" ht="12.75" customHeight="1"/>
    <row r="24" spans="1:10" ht="70.5" customHeight="1">
      <c r="A24" s="280" t="s">
        <v>171</v>
      </c>
      <c r="B24" s="161"/>
      <c r="C24" s="161"/>
      <c r="D24" s="161"/>
      <c r="E24" s="161"/>
      <c r="F24" s="161"/>
      <c r="G24" s="161"/>
      <c r="H24" s="161"/>
      <c r="I24" s="161"/>
      <c r="J24" s="279"/>
    </row>
    <row r="25" spans="1:10" ht="12.75" customHeight="1"/>
    <row r="26" spans="1:10" ht="12.75" customHeight="1"/>
    <row r="27" spans="1:10" ht="22.5" customHeight="1">
      <c r="A27" s="276" t="s">
        <v>58</v>
      </c>
      <c r="B27" s="150"/>
      <c r="C27" s="150"/>
      <c r="D27" s="120" t="s">
        <v>25</v>
      </c>
      <c r="G27" s="276" t="s">
        <v>167</v>
      </c>
      <c r="H27" s="150"/>
      <c r="I27" s="151"/>
      <c r="J27" s="120" t="s">
        <v>25</v>
      </c>
    </row>
    <row r="28" spans="1:10" ht="15" customHeight="1">
      <c r="D28" s="118">
        <f>'ARREST REPORT'!$G$12</f>
        <v>208</v>
      </c>
      <c r="G28" s="277" t="s">
        <v>169</v>
      </c>
      <c r="H28" s="150"/>
      <c r="I28" s="151"/>
      <c r="J28" s="118">
        <f>'ARREST REPORT'!$G$18</f>
        <v>208</v>
      </c>
    </row>
    <row r="29" spans="1:10" ht="12.75" customHeight="1"/>
    <row r="30" spans="1:10" ht="12.75" customHeight="1"/>
    <row r="31" spans="1:10" ht="12.75" customHeight="1">
      <c r="G31" s="276" t="s">
        <v>168</v>
      </c>
      <c r="H31" s="150"/>
      <c r="I31" s="151"/>
      <c r="J31" s="120" t="s">
        <v>25</v>
      </c>
    </row>
    <row r="32" spans="1:10" ht="12.75" customHeight="1">
      <c r="G32" s="277" t="s">
        <v>169</v>
      </c>
      <c r="H32" s="150"/>
      <c r="I32" s="151"/>
      <c r="J32" s="118">
        <f>'ARREST REPORT'!$G$26</f>
        <v>208</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19" t="s">
        <v>72</v>
      </c>
    </row>
    <row r="2" spans="1:1" ht="13.5" customHeight="1">
      <c r="A2" s="119" t="s">
        <v>74</v>
      </c>
    </row>
    <row r="3" spans="1:1" ht="13.5" customHeight="1">
      <c r="A3" s="119" t="s">
        <v>76</v>
      </c>
    </row>
    <row r="4" spans="1:1" ht="13.5" customHeight="1">
      <c r="A4" s="119" t="s">
        <v>78</v>
      </c>
    </row>
    <row r="5" spans="1:1" ht="13.5" customHeight="1">
      <c r="A5" s="119" t="s">
        <v>73</v>
      </c>
    </row>
    <row r="6" spans="1:1" ht="13.5" customHeight="1">
      <c r="A6" s="119" t="s">
        <v>75</v>
      </c>
    </row>
    <row r="7" spans="1:1" ht="13.5" customHeight="1">
      <c r="A7" s="119" t="s">
        <v>77</v>
      </c>
    </row>
    <row r="8" spans="1:1" ht="13.5" customHeight="1">
      <c r="A8" s="119" t="s">
        <v>80</v>
      </c>
    </row>
    <row r="9" spans="1:1" ht="13.5" customHeight="1">
      <c r="A9" s="119" t="s">
        <v>83</v>
      </c>
    </row>
    <row r="10" spans="1:1" ht="13.5" customHeight="1">
      <c r="A10" s="119" t="s">
        <v>85</v>
      </c>
    </row>
    <row r="11" spans="1:1" ht="13.5" customHeight="1">
      <c r="A11" s="119" t="s">
        <v>87</v>
      </c>
    </row>
    <row r="12" spans="1:1" ht="13.5" customHeight="1">
      <c r="A12" s="119" t="s">
        <v>89</v>
      </c>
    </row>
    <row r="13" spans="1:1" ht="13.5" customHeight="1">
      <c r="A13" s="119" t="s">
        <v>91</v>
      </c>
    </row>
    <row r="14" spans="1:1" ht="13.5" customHeight="1">
      <c r="A14" s="119" t="s">
        <v>93</v>
      </c>
    </row>
    <row r="15" spans="1:1" ht="13.5" customHeight="1">
      <c r="A15" s="119" t="s">
        <v>95</v>
      </c>
    </row>
    <row r="16" spans="1:1" ht="13.5" customHeight="1">
      <c r="A16" s="119" t="s">
        <v>97</v>
      </c>
    </row>
    <row r="17" spans="1:1" ht="13.5" customHeight="1">
      <c r="A17" s="119" t="s">
        <v>99</v>
      </c>
    </row>
    <row r="18" spans="1:1" ht="13.5" customHeight="1">
      <c r="A18" s="119" t="s">
        <v>101</v>
      </c>
    </row>
    <row r="19" spans="1:1" ht="13.5" customHeight="1">
      <c r="A19" s="119" t="s">
        <v>103</v>
      </c>
    </row>
    <row r="20" spans="1:1" ht="13.5" customHeight="1">
      <c r="A20" s="119" t="s">
        <v>105</v>
      </c>
    </row>
    <row r="21" spans="1:1" ht="13.5" customHeight="1">
      <c r="A21" s="119" t="s">
        <v>107</v>
      </c>
    </row>
    <row r="22" spans="1:1" ht="13.5" customHeight="1">
      <c r="A22" s="119" t="s">
        <v>109</v>
      </c>
    </row>
    <row r="23" spans="1:1" ht="13.5" customHeight="1">
      <c r="A23" s="119" t="s">
        <v>111</v>
      </c>
    </row>
    <row r="24" spans="1:1" ht="13.5" customHeight="1">
      <c r="A24" s="119" t="s">
        <v>113</v>
      </c>
    </row>
    <row r="25" spans="1:1" ht="13.5" customHeight="1">
      <c r="A25" s="119" t="s">
        <v>115</v>
      </c>
    </row>
    <row r="26" spans="1:1" ht="13.5" customHeight="1">
      <c r="A26" s="119" t="s">
        <v>172</v>
      </c>
    </row>
    <row r="27" spans="1:1" ht="13.5" customHeight="1">
      <c r="A27" s="119" t="s">
        <v>86</v>
      </c>
    </row>
    <row r="28" spans="1:1" ht="13.5" customHeight="1">
      <c r="A28" s="119" t="s">
        <v>88</v>
      </c>
    </row>
    <row r="29" spans="1:1" ht="13.5" customHeight="1">
      <c r="A29" s="119" t="s">
        <v>90</v>
      </c>
    </row>
    <row r="30" spans="1:1" ht="13.5" customHeight="1">
      <c r="A30" s="119" t="s">
        <v>92</v>
      </c>
    </row>
    <row r="31" spans="1:1" ht="13.5" customHeight="1">
      <c r="A31" s="119" t="s">
        <v>94</v>
      </c>
    </row>
    <row r="32" spans="1:1" ht="13.5" customHeight="1">
      <c r="A32" s="119" t="s">
        <v>96</v>
      </c>
    </row>
    <row r="33" spans="1:1" ht="13.5" customHeight="1">
      <c r="A33" s="119" t="s">
        <v>98</v>
      </c>
    </row>
    <row r="34" spans="1:1" ht="13.5" customHeight="1">
      <c r="A34" s="119" t="s">
        <v>100</v>
      </c>
    </row>
    <row r="35" spans="1:1" ht="13.5" customHeight="1">
      <c r="A35" s="119" t="s">
        <v>102</v>
      </c>
    </row>
    <row r="36" spans="1:1" ht="13.5" customHeight="1">
      <c r="A36" s="119" t="s">
        <v>104</v>
      </c>
    </row>
    <row r="37" spans="1:1" ht="13.5" customHeight="1">
      <c r="A37" s="119" t="s">
        <v>106</v>
      </c>
    </row>
    <row r="38" spans="1:1" ht="13.5" customHeight="1">
      <c r="A38" s="119" t="s">
        <v>108</v>
      </c>
    </row>
    <row r="39" spans="1:1" ht="13.5" customHeight="1">
      <c r="A39" s="119" t="s">
        <v>110</v>
      </c>
    </row>
    <row r="40" spans="1:1" ht="13.5" customHeight="1">
      <c r="A40" s="119" t="s">
        <v>112</v>
      </c>
    </row>
    <row r="41" spans="1:1" ht="13.5" customHeight="1">
      <c r="A41" s="119" t="s">
        <v>114</v>
      </c>
    </row>
    <row r="42" spans="1:1" ht="13.5" customHeight="1">
      <c r="A42" s="119" t="s">
        <v>116</v>
      </c>
    </row>
    <row r="43" spans="1:1" ht="13.5" customHeight="1">
      <c r="A43" s="119" t="s">
        <v>117</v>
      </c>
    </row>
    <row r="44" spans="1:1" ht="13.5" customHeight="1">
      <c r="A44" s="119" t="s">
        <v>119</v>
      </c>
    </row>
    <row r="45" spans="1:1" ht="13.5" customHeight="1">
      <c r="A45" s="119" t="s">
        <v>122</v>
      </c>
    </row>
    <row r="46" spans="1:1" ht="13.5" customHeight="1">
      <c r="A46" s="119" t="s">
        <v>125</v>
      </c>
    </row>
    <row r="47" spans="1:1" ht="13.5" customHeight="1">
      <c r="A47" s="119" t="s">
        <v>128</v>
      </c>
    </row>
    <row r="48" spans="1:1" ht="13.5" customHeight="1">
      <c r="A48" s="119" t="s">
        <v>120</v>
      </c>
    </row>
    <row r="49" spans="1:1" ht="13.5" customHeight="1">
      <c r="A49" s="119" t="s">
        <v>123</v>
      </c>
    </row>
    <row r="50" spans="1:1" ht="13.5" customHeight="1">
      <c r="A50" s="119" t="s">
        <v>173</v>
      </c>
    </row>
    <row r="51" spans="1:1" ht="13.5" customHeight="1">
      <c r="A51" s="119"/>
    </row>
    <row r="52" spans="1:1" ht="13.5" customHeight="1">
      <c r="A52" s="119"/>
    </row>
    <row r="53" spans="1:1" ht="13.5" customHeight="1">
      <c r="A53" s="119"/>
    </row>
    <row r="54" spans="1:1" ht="13.5" customHeight="1">
      <c r="A54" s="119"/>
    </row>
    <row r="55" spans="1:1" ht="13.5" customHeight="1">
      <c r="A55" s="119"/>
    </row>
    <row r="56" spans="1:1" ht="13.5" customHeight="1">
      <c r="A56" s="119"/>
    </row>
    <row r="57" spans="1:1" ht="13.5" customHeight="1">
      <c r="A57" s="119"/>
    </row>
    <row r="58" spans="1:1" ht="13.5" customHeight="1">
      <c r="A58" s="119"/>
    </row>
    <row r="59" spans="1:1" ht="13.5" customHeight="1">
      <c r="A59" s="119"/>
    </row>
    <row r="60" spans="1:1" ht="13.5" customHeight="1">
      <c r="A60" s="119"/>
    </row>
    <row r="61" spans="1:1" ht="13.5" customHeight="1">
      <c r="A61" s="119"/>
    </row>
    <row r="62" spans="1:1" ht="13.5" customHeight="1">
      <c r="A62" s="119"/>
    </row>
    <row r="63" spans="1:1" ht="13.5" customHeight="1">
      <c r="A63" s="119"/>
    </row>
    <row r="64" spans="1:1" ht="13.5" customHeight="1">
      <c r="A64" s="119"/>
    </row>
    <row r="65" spans="1:1" ht="13.5" customHeight="1">
      <c r="A65" s="119"/>
    </row>
    <row r="66" spans="1:1" ht="13.5" customHeight="1">
      <c r="A66" s="119"/>
    </row>
    <row r="67" spans="1:1" ht="13.5" customHeight="1">
      <c r="A67" s="119"/>
    </row>
    <row r="68" spans="1:1" ht="13.5" customHeight="1">
      <c r="A68" s="119"/>
    </row>
    <row r="69" spans="1:1" ht="13.5" customHeight="1">
      <c r="A69" s="119"/>
    </row>
    <row r="70" spans="1:1" ht="13.5" customHeight="1">
      <c r="A70" s="119"/>
    </row>
    <row r="71" spans="1:1" ht="13.5" customHeight="1">
      <c r="A71" s="119"/>
    </row>
    <row r="72" spans="1:1" ht="13.5" customHeight="1">
      <c r="A72" s="119"/>
    </row>
    <row r="73" spans="1:1" ht="13.5" customHeight="1">
      <c r="A73" s="119"/>
    </row>
    <row r="74" spans="1:1" ht="13.5" customHeight="1">
      <c r="A74" s="119"/>
    </row>
    <row r="75" spans="1:1" ht="13.5" customHeight="1">
      <c r="A75" s="119"/>
    </row>
    <row r="76" spans="1:1" ht="13.5" customHeight="1">
      <c r="A76" s="119"/>
    </row>
    <row r="77" spans="1:1" ht="13.5" customHeight="1">
      <c r="A77" s="119"/>
    </row>
    <row r="78" spans="1:1" ht="13.5" customHeight="1">
      <c r="A78" s="119"/>
    </row>
    <row r="79" spans="1:1" ht="13.5" customHeight="1">
      <c r="A79" s="119"/>
    </row>
    <row r="80" spans="1:1" ht="13.5" customHeight="1">
      <c r="A80" s="119"/>
    </row>
    <row r="81" spans="1:1" ht="13.5" customHeight="1">
      <c r="A81" s="119"/>
    </row>
    <row r="82" spans="1:1" ht="13.5" customHeight="1">
      <c r="A82" s="119"/>
    </row>
    <row r="83" spans="1:1" ht="13.5" customHeight="1">
      <c r="A83" s="119"/>
    </row>
    <row r="84" spans="1:1" ht="13.5" customHeight="1">
      <c r="A84" s="119"/>
    </row>
    <row r="85" spans="1:1" ht="13.5" customHeight="1">
      <c r="A85" s="119"/>
    </row>
    <row r="86" spans="1:1" ht="13.5" customHeight="1">
      <c r="A86" s="119"/>
    </row>
    <row r="87" spans="1:1" ht="13.5" customHeight="1">
      <c r="A87" s="119"/>
    </row>
    <row r="88" spans="1:1" ht="13.5" customHeight="1">
      <c r="A88" s="119"/>
    </row>
    <row r="89" spans="1:1" ht="13.5" customHeight="1">
      <c r="A89" s="119"/>
    </row>
    <row r="90" spans="1:1" ht="13.5" customHeight="1">
      <c r="A90" s="119"/>
    </row>
    <row r="91" spans="1:1" ht="13.5" customHeight="1">
      <c r="A91" s="119"/>
    </row>
    <row r="92" spans="1:1" ht="13.5" customHeight="1">
      <c r="A92" s="119"/>
    </row>
    <row r="93" spans="1:1" ht="13.5" customHeight="1">
      <c r="A93" s="119"/>
    </row>
    <row r="94" spans="1:1" ht="13.5" customHeight="1">
      <c r="A94" s="119"/>
    </row>
    <row r="95" spans="1:1" ht="13.5" customHeight="1">
      <c r="A95" s="119"/>
    </row>
    <row r="96" spans="1:1" ht="13.5" customHeight="1">
      <c r="A96" s="119"/>
    </row>
    <row r="97" spans="1:1" ht="13.5" customHeight="1">
      <c r="A97" s="119"/>
    </row>
    <row r="98" spans="1:1" ht="13.5" customHeight="1">
      <c r="A98" s="119"/>
    </row>
    <row r="99" spans="1:1" ht="13.5" customHeight="1">
      <c r="A99" s="119"/>
    </row>
    <row r="100" spans="1:1" ht="13.5" customHeight="1">
      <c r="A100" s="119"/>
    </row>
    <row r="101" spans="1:1" ht="13.5" customHeight="1">
      <c r="A101" s="119"/>
    </row>
    <row r="102" spans="1:1" ht="13.5" customHeight="1">
      <c r="A102" s="119"/>
    </row>
    <row r="103" spans="1:1" ht="13.5" customHeight="1">
      <c r="A103" s="119"/>
    </row>
    <row r="104" spans="1:1" ht="13.5" customHeight="1">
      <c r="A104" s="119"/>
    </row>
    <row r="105" spans="1:1" ht="13.5" customHeight="1">
      <c r="A105" s="119"/>
    </row>
    <row r="106" spans="1:1" ht="13.5" customHeight="1">
      <c r="A106" s="119"/>
    </row>
    <row r="107" spans="1:1" ht="13.5" customHeight="1">
      <c r="A107" s="119"/>
    </row>
    <row r="108" spans="1:1" ht="13.5" customHeight="1">
      <c r="A108" s="119"/>
    </row>
    <row r="109" spans="1:1" ht="13.5" customHeight="1">
      <c r="A109" s="119"/>
    </row>
    <row r="110" spans="1:1" ht="13.5" customHeight="1">
      <c r="A110" s="119"/>
    </row>
    <row r="111" spans="1:1" ht="13.5" customHeight="1">
      <c r="A111" s="119"/>
    </row>
    <row r="112" spans="1:1" ht="13.5" customHeight="1">
      <c r="A112" s="119"/>
    </row>
    <row r="113" spans="1:1" ht="13.5" customHeight="1">
      <c r="A113" s="119"/>
    </row>
    <row r="114" spans="1:1" ht="13.5" customHeight="1">
      <c r="A114" s="119"/>
    </row>
    <row r="115" spans="1:1" ht="13.5" customHeight="1">
      <c r="A115" s="119"/>
    </row>
    <row r="116" spans="1:1" ht="13.5" customHeight="1">
      <c r="A116" s="119"/>
    </row>
    <row r="117" spans="1:1" ht="13.5" customHeight="1">
      <c r="A117" s="119"/>
    </row>
    <row r="118" spans="1:1" ht="13.5" customHeight="1">
      <c r="A118" s="119"/>
    </row>
    <row r="119" spans="1:1" ht="13.5" customHeight="1">
      <c r="A119" s="119"/>
    </row>
    <row r="120" spans="1:1" ht="13.5" customHeight="1">
      <c r="A120" s="119"/>
    </row>
    <row r="121" spans="1:1" ht="13.5" customHeight="1">
      <c r="A121" s="119"/>
    </row>
    <row r="122" spans="1:1" ht="13.5" customHeight="1">
      <c r="A122" s="119"/>
    </row>
    <row r="123" spans="1:1" ht="13.5" customHeight="1">
      <c r="A123" s="119"/>
    </row>
    <row r="124" spans="1:1" ht="13.5" customHeight="1">
      <c r="A124" s="119"/>
    </row>
    <row r="125" spans="1:1" ht="13.5" customHeight="1">
      <c r="A125" s="119"/>
    </row>
    <row r="126" spans="1:1" ht="13.5" customHeight="1">
      <c r="A126" s="119"/>
    </row>
    <row r="127" spans="1:1" ht="13.5" customHeight="1">
      <c r="A127" s="119"/>
    </row>
    <row r="128" spans="1:1" ht="13.5" customHeight="1">
      <c r="A128" s="119"/>
    </row>
    <row r="129" spans="1:1" ht="13.5" customHeight="1">
      <c r="A129" s="119"/>
    </row>
    <row r="130" spans="1:1" ht="13.5" customHeight="1">
      <c r="A130" s="119"/>
    </row>
    <row r="131" spans="1:1" ht="13.5" customHeight="1">
      <c r="A131" s="119"/>
    </row>
    <row r="132" spans="1:1" ht="13.5" customHeight="1">
      <c r="A132" s="119"/>
    </row>
    <row r="133" spans="1:1" ht="13.5" customHeight="1">
      <c r="A133" s="119"/>
    </row>
    <row r="134" spans="1:1" ht="13.5" customHeight="1">
      <c r="A134" s="119"/>
    </row>
    <row r="135" spans="1:1" ht="13.5" customHeight="1">
      <c r="A135" s="119"/>
    </row>
    <row r="136" spans="1:1" ht="13.5" customHeight="1">
      <c r="A136" s="119"/>
    </row>
    <row r="137" spans="1:1" ht="13.5" customHeight="1">
      <c r="A137" s="119"/>
    </row>
    <row r="138" spans="1:1" ht="13.5" customHeight="1">
      <c r="A138" s="119"/>
    </row>
    <row r="139" spans="1:1" ht="13.5" customHeight="1">
      <c r="A139" s="119"/>
    </row>
    <row r="140" spans="1:1" ht="13.5" customHeight="1">
      <c r="A140" s="119"/>
    </row>
    <row r="141" spans="1:1" ht="13.5" customHeight="1">
      <c r="A141" s="119"/>
    </row>
    <row r="142" spans="1:1" ht="13.5" customHeight="1">
      <c r="A142" s="119"/>
    </row>
    <row r="143" spans="1:1" ht="13.5" customHeight="1">
      <c r="A143" s="119"/>
    </row>
    <row r="144" spans="1:1" ht="13.5" customHeight="1">
      <c r="A144" s="119"/>
    </row>
    <row r="145" spans="1:1" ht="13.5" customHeight="1">
      <c r="A145" s="119"/>
    </row>
    <row r="146" spans="1:1" ht="13.5" customHeight="1">
      <c r="A146" s="119"/>
    </row>
    <row r="147" spans="1:1" ht="13.5" customHeight="1">
      <c r="A147" s="119"/>
    </row>
    <row r="148" spans="1:1" ht="13.5" customHeight="1">
      <c r="A148" s="119"/>
    </row>
    <row r="149" spans="1:1" ht="13.5" customHeight="1">
      <c r="A149" s="119"/>
    </row>
    <row r="150" spans="1:1" ht="13.5" customHeight="1">
      <c r="A150" s="119"/>
    </row>
    <row r="151" spans="1:1" ht="13.5" customHeight="1">
      <c r="A151" s="119"/>
    </row>
    <row r="152" spans="1:1" ht="13.5" customHeight="1">
      <c r="A152" s="119"/>
    </row>
    <row r="153" spans="1:1" ht="13.5" customHeight="1">
      <c r="A153" s="119"/>
    </row>
    <row r="154" spans="1:1" ht="13.5" customHeight="1">
      <c r="A154" s="119"/>
    </row>
    <row r="155" spans="1:1" ht="13.5" customHeight="1">
      <c r="A155" s="119"/>
    </row>
    <row r="156" spans="1:1" ht="13.5" customHeight="1">
      <c r="A156" s="119"/>
    </row>
    <row r="157" spans="1:1" ht="13.5" customHeight="1">
      <c r="A157" s="119"/>
    </row>
    <row r="158" spans="1:1" ht="13.5" customHeight="1">
      <c r="A158" s="119"/>
    </row>
    <row r="159" spans="1:1" ht="13.5" customHeight="1">
      <c r="A159" s="119"/>
    </row>
    <row r="160" spans="1:1" ht="13.5" customHeight="1">
      <c r="A160" s="119"/>
    </row>
    <row r="161" spans="1:1" ht="13.5" customHeight="1">
      <c r="A161" s="119"/>
    </row>
    <row r="162" spans="1:1" ht="13.5" customHeight="1">
      <c r="A162" s="119"/>
    </row>
    <row r="163" spans="1:1" ht="13.5" customHeight="1">
      <c r="A163" s="119"/>
    </row>
    <row r="164" spans="1:1" ht="13.5" customHeight="1">
      <c r="A164" s="119"/>
    </row>
    <row r="165" spans="1:1" ht="13.5" customHeight="1">
      <c r="A165" s="119"/>
    </row>
    <row r="166" spans="1:1" ht="13.5" customHeight="1">
      <c r="A166" s="119"/>
    </row>
    <row r="167" spans="1:1" ht="13.5" customHeight="1">
      <c r="A167" s="119"/>
    </row>
    <row r="168" spans="1:1" ht="13.5" customHeight="1">
      <c r="A168" s="119"/>
    </row>
    <row r="169" spans="1:1" ht="13.5" customHeight="1">
      <c r="A169" s="119"/>
    </row>
    <row r="170" spans="1:1" ht="13.5" customHeight="1">
      <c r="A170" s="119"/>
    </row>
    <row r="171" spans="1:1" ht="13.5" customHeight="1">
      <c r="A171" s="119"/>
    </row>
    <row r="172" spans="1:1" ht="13.5" customHeight="1">
      <c r="A172" s="119"/>
    </row>
    <row r="173" spans="1:1" ht="13.5" customHeight="1">
      <c r="A173" s="119"/>
    </row>
    <row r="174" spans="1:1" ht="13.5" customHeight="1">
      <c r="A174" s="119"/>
    </row>
    <row r="175" spans="1:1" ht="13.5" customHeight="1">
      <c r="A175" s="119"/>
    </row>
    <row r="176" spans="1:1" ht="13.5" customHeight="1">
      <c r="A176" s="119"/>
    </row>
    <row r="177" spans="1:1" ht="13.5" customHeight="1">
      <c r="A177" s="119"/>
    </row>
    <row r="178" spans="1:1" ht="13.5" customHeight="1">
      <c r="A178" s="119"/>
    </row>
    <row r="179" spans="1:1" ht="13.5" customHeight="1">
      <c r="A179" s="119"/>
    </row>
    <row r="180" spans="1:1" ht="13.5" customHeight="1">
      <c r="A180" s="119"/>
    </row>
    <row r="181" spans="1:1" ht="13.5" customHeight="1">
      <c r="A181" s="119"/>
    </row>
    <row r="182" spans="1:1" ht="13.5" customHeight="1">
      <c r="A182" s="119"/>
    </row>
    <row r="183" spans="1:1" ht="13.5" customHeight="1">
      <c r="A183" s="119"/>
    </row>
    <row r="184" spans="1:1" ht="13.5" customHeight="1">
      <c r="A184" s="119"/>
    </row>
    <row r="185" spans="1:1" ht="13.5" customHeight="1">
      <c r="A185" s="119"/>
    </row>
    <row r="186" spans="1:1" ht="13.5" customHeight="1">
      <c r="A186" s="119"/>
    </row>
    <row r="187" spans="1:1" ht="13.5" customHeight="1">
      <c r="A187" s="119"/>
    </row>
    <row r="188" spans="1:1" ht="13.5" customHeight="1">
      <c r="A188" s="119"/>
    </row>
    <row r="189" spans="1:1" ht="13.5" customHeight="1">
      <c r="A189" s="119"/>
    </row>
    <row r="190" spans="1:1" ht="13.5" customHeight="1">
      <c r="A190" s="119"/>
    </row>
    <row r="191" spans="1:1" ht="13.5" customHeight="1">
      <c r="A191" s="119"/>
    </row>
    <row r="192" spans="1:1" ht="13.5" customHeight="1">
      <c r="A192" s="119"/>
    </row>
    <row r="193" spans="1:1" ht="13.5" customHeight="1">
      <c r="A193" s="119"/>
    </row>
    <row r="194" spans="1:1" ht="13.5" customHeight="1">
      <c r="A194" s="119"/>
    </row>
    <row r="195" spans="1:1" ht="13.5" customHeight="1">
      <c r="A195" s="119"/>
    </row>
    <row r="196" spans="1:1" ht="13.5" customHeight="1">
      <c r="A196" s="119"/>
    </row>
    <row r="197" spans="1:1" ht="13.5" customHeight="1">
      <c r="A197" s="119"/>
    </row>
    <row r="198" spans="1:1" ht="13.5" customHeight="1">
      <c r="A198" s="119"/>
    </row>
    <row r="199" spans="1:1" ht="13.5" customHeight="1">
      <c r="A199" s="119"/>
    </row>
    <row r="200" spans="1:1" ht="13.5" customHeight="1">
      <c r="A200" s="119"/>
    </row>
    <row r="201" spans="1:1" ht="13.5" customHeight="1">
      <c r="A201" s="119"/>
    </row>
    <row r="202" spans="1:1" ht="13.5" customHeight="1">
      <c r="A202" s="119"/>
    </row>
    <row r="203" spans="1:1" ht="13.5" customHeight="1">
      <c r="A203" s="119"/>
    </row>
    <row r="204" spans="1:1" ht="13.5" customHeight="1">
      <c r="A204" s="119"/>
    </row>
    <row r="205" spans="1:1" ht="13.5" customHeight="1">
      <c r="A205" s="119"/>
    </row>
    <row r="206" spans="1:1" ht="13.5" customHeight="1">
      <c r="A206" s="119"/>
    </row>
    <row r="207" spans="1:1" ht="13.5" customHeight="1">
      <c r="A207" s="119"/>
    </row>
    <row r="208" spans="1:1" ht="13.5" customHeight="1">
      <c r="A208" s="119"/>
    </row>
    <row r="209" spans="1:1" ht="13.5" customHeight="1">
      <c r="A209" s="119"/>
    </row>
    <row r="210" spans="1:1" ht="13.5" customHeight="1">
      <c r="A210" s="119"/>
    </row>
    <row r="211" spans="1:1" ht="13.5" customHeight="1">
      <c r="A211" s="119"/>
    </row>
    <row r="212" spans="1:1" ht="13.5" customHeight="1">
      <c r="A212" s="119"/>
    </row>
    <row r="213" spans="1:1" ht="13.5" customHeight="1">
      <c r="A213" s="119"/>
    </row>
    <row r="214" spans="1:1" ht="13.5" customHeight="1">
      <c r="A214" s="119"/>
    </row>
    <row r="215" spans="1:1" ht="13.5" customHeight="1">
      <c r="A215" s="119"/>
    </row>
    <row r="216" spans="1:1" ht="13.5" customHeight="1">
      <c r="A216" s="119"/>
    </row>
    <row r="217" spans="1:1" ht="13.5" customHeight="1">
      <c r="A217" s="119"/>
    </row>
    <row r="218" spans="1:1" ht="13.5" customHeight="1">
      <c r="A218" s="119"/>
    </row>
    <row r="219" spans="1:1" ht="13.5" customHeight="1">
      <c r="A219" s="119"/>
    </row>
    <row r="220" spans="1:1" ht="13.5" customHeight="1">
      <c r="A220" s="119"/>
    </row>
    <row r="221" spans="1:1" ht="13.5" customHeight="1">
      <c r="A221" s="119"/>
    </row>
    <row r="222" spans="1:1" ht="13.5" customHeight="1">
      <c r="A222" s="119"/>
    </row>
    <row r="223" spans="1:1" ht="13.5" customHeight="1">
      <c r="A223" s="119"/>
    </row>
    <row r="224" spans="1:1" ht="13.5" customHeight="1">
      <c r="A224" s="119"/>
    </row>
    <row r="225" spans="1:1" ht="13.5" customHeight="1">
      <c r="A225" s="119"/>
    </row>
    <row r="226" spans="1:1" ht="13.5" customHeight="1">
      <c r="A226" s="119"/>
    </row>
    <row r="227" spans="1:1" ht="13.5" customHeight="1">
      <c r="A227" s="119"/>
    </row>
    <row r="228" spans="1:1" ht="13.5" customHeight="1">
      <c r="A228" s="119"/>
    </row>
    <row r="229" spans="1:1" ht="13.5" customHeight="1">
      <c r="A229" s="119"/>
    </row>
    <row r="230" spans="1:1" ht="13.5" customHeight="1">
      <c r="A230" s="119"/>
    </row>
    <row r="231" spans="1:1" ht="13.5" customHeight="1">
      <c r="A231" s="119"/>
    </row>
    <row r="232" spans="1:1" ht="13.5" customHeight="1">
      <c r="A232" s="119"/>
    </row>
    <row r="233" spans="1:1" ht="13.5" customHeight="1">
      <c r="A233" s="119"/>
    </row>
    <row r="234" spans="1:1" ht="13.5" customHeight="1">
      <c r="A234" s="119"/>
    </row>
    <row r="235" spans="1:1" ht="13.5" customHeight="1">
      <c r="A235" s="119"/>
    </row>
    <row r="236" spans="1:1" ht="13.5" customHeight="1">
      <c r="A236" s="119"/>
    </row>
    <row r="237" spans="1:1" ht="13.5" customHeight="1">
      <c r="A237" s="119"/>
    </row>
    <row r="238" spans="1:1" ht="13.5" customHeight="1">
      <c r="A238" s="119"/>
    </row>
    <row r="239" spans="1:1" ht="13.5" customHeight="1">
      <c r="A239" s="119"/>
    </row>
    <row r="240" spans="1:1" ht="13.5" customHeight="1">
      <c r="A240" s="119"/>
    </row>
    <row r="241" spans="1:1" ht="13.5" customHeight="1">
      <c r="A241" s="119"/>
    </row>
    <row r="242" spans="1:1" ht="13.5" customHeight="1">
      <c r="A242" s="119"/>
    </row>
    <row r="243" spans="1:1" ht="13.5" customHeight="1">
      <c r="A243" s="119"/>
    </row>
    <row r="244" spans="1:1" ht="13.5" customHeight="1">
      <c r="A244" s="119"/>
    </row>
    <row r="245" spans="1:1" ht="13.5" customHeight="1">
      <c r="A245" s="119"/>
    </row>
    <row r="246" spans="1:1" ht="13.5" customHeight="1">
      <c r="A246" s="119"/>
    </row>
    <row r="247" spans="1:1" ht="13.5" customHeight="1">
      <c r="A247" s="119"/>
    </row>
    <row r="248" spans="1:1" ht="13.5" customHeight="1">
      <c r="A248" s="119"/>
    </row>
    <row r="249" spans="1:1" ht="13.5" customHeight="1">
      <c r="A249" s="119"/>
    </row>
    <row r="250" spans="1:1" ht="13.5" customHeight="1">
      <c r="A250" s="119"/>
    </row>
    <row r="251" spans="1:1" ht="13.5" customHeight="1">
      <c r="A251" s="119"/>
    </row>
    <row r="252" spans="1:1" ht="13.5" customHeight="1">
      <c r="A252" s="119"/>
    </row>
    <row r="253" spans="1:1" ht="13.5" customHeight="1">
      <c r="A253" s="119"/>
    </row>
    <row r="254" spans="1:1" ht="13.5" customHeight="1">
      <c r="A254" s="119"/>
    </row>
    <row r="255" spans="1:1" ht="13.5" customHeight="1">
      <c r="A255" s="119"/>
    </row>
    <row r="256" spans="1:1" ht="13.5" customHeight="1">
      <c r="A256" s="119"/>
    </row>
    <row r="257" spans="1:1" ht="13.5" customHeight="1">
      <c r="A257" s="119"/>
    </row>
    <row r="258" spans="1:1" ht="13.5" customHeight="1">
      <c r="A258" s="119"/>
    </row>
    <row r="259" spans="1:1" ht="13.5" customHeight="1">
      <c r="A259" s="119"/>
    </row>
    <row r="260" spans="1:1" ht="13.5" customHeight="1">
      <c r="A260" s="119"/>
    </row>
    <row r="261" spans="1:1" ht="13.5" customHeight="1">
      <c r="A261" s="119"/>
    </row>
    <row r="262" spans="1:1" ht="13.5" customHeight="1">
      <c r="A262" s="119"/>
    </row>
    <row r="263" spans="1:1" ht="13.5" customHeight="1">
      <c r="A263" s="119"/>
    </row>
    <row r="264" spans="1:1" ht="13.5" customHeight="1">
      <c r="A264" s="119"/>
    </row>
    <row r="265" spans="1:1" ht="13.5" customHeight="1">
      <c r="A265" s="119"/>
    </row>
    <row r="266" spans="1:1" ht="13.5" customHeight="1">
      <c r="A266" s="119"/>
    </row>
    <row r="267" spans="1:1" ht="13.5" customHeight="1">
      <c r="A267" s="119"/>
    </row>
    <row r="268" spans="1:1" ht="13.5" customHeight="1">
      <c r="A268" s="119"/>
    </row>
    <row r="269" spans="1:1" ht="13.5" customHeight="1">
      <c r="A269" s="119"/>
    </row>
    <row r="270" spans="1:1" ht="13.5" customHeight="1">
      <c r="A270" s="119"/>
    </row>
    <row r="271" spans="1:1" ht="13.5" customHeight="1">
      <c r="A271" s="119"/>
    </row>
    <row r="272" spans="1:1" ht="13.5" customHeight="1">
      <c r="A272" s="119"/>
    </row>
    <row r="273" spans="1:1" ht="13.5" customHeight="1">
      <c r="A273" s="119"/>
    </row>
    <row r="274" spans="1:1" ht="13.5" customHeight="1">
      <c r="A274" s="119"/>
    </row>
    <row r="275" spans="1:1" ht="13.5" customHeight="1">
      <c r="A275" s="119"/>
    </row>
    <row r="276" spans="1:1" ht="13.5" customHeight="1">
      <c r="A276" s="119"/>
    </row>
    <row r="277" spans="1:1" ht="13.5" customHeight="1">
      <c r="A277" s="119"/>
    </row>
    <row r="278" spans="1:1" ht="13.5" customHeight="1">
      <c r="A278" s="119"/>
    </row>
    <row r="279" spans="1:1" ht="13.5" customHeight="1">
      <c r="A279" s="119"/>
    </row>
    <row r="280" spans="1:1" ht="13.5" customHeight="1">
      <c r="A280" s="119"/>
    </row>
    <row r="281" spans="1:1" ht="13.5" customHeight="1">
      <c r="A281" s="119"/>
    </row>
    <row r="282" spans="1:1" ht="13.5" customHeight="1">
      <c r="A282" s="119"/>
    </row>
    <row r="283" spans="1:1" ht="13.5" customHeight="1">
      <c r="A283" s="119"/>
    </row>
    <row r="284" spans="1:1" ht="13.5" customHeight="1">
      <c r="A284" s="119"/>
    </row>
    <row r="285" spans="1:1" ht="13.5" customHeight="1">
      <c r="A285" s="119"/>
    </row>
    <row r="286" spans="1:1" ht="13.5" customHeight="1">
      <c r="A286" s="119"/>
    </row>
    <row r="287" spans="1:1" ht="13.5" customHeight="1">
      <c r="A287" s="119"/>
    </row>
    <row r="288" spans="1:1" ht="13.5" customHeight="1">
      <c r="A288" s="119"/>
    </row>
    <row r="289" spans="1:1" ht="13.5" customHeight="1">
      <c r="A289" s="119"/>
    </row>
    <row r="290" spans="1:1" ht="13.5" customHeight="1">
      <c r="A290" s="119"/>
    </row>
    <row r="291" spans="1:1" ht="13.5" customHeight="1">
      <c r="A291" s="119"/>
    </row>
    <row r="292" spans="1:1" ht="13.5" customHeight="1">
      <c r="A292" s="119"/>
    </row>
    <row r="293" spans="1:1" ht="13.5" customHeight="1">
      <c r="A293" s="119"/>
    </row>
    <row r="294" spans="1:1" ht="13.5" customHeight="1">
      <c r="A294" s="119"/>
    </row>
    <row r="295" spans="1:1" ht="13.5" customHeight="1">
      <c r="A295" s="119"/>
    </row>
    <row r="296" spans="1:1" ht="13.5" customHeight="1">
      <c r="A296" s="119"/>
    </row>
    <row r="297" spans="1:1" ht="13.5" customHeight="1">
      <c r="A297" s="119"/>
    </row>
    <row r="298" spans="1:1" ht="13.5" customHeight="1">
      <c r="A298" s="119"/>
    </row>
    <row r="299" spans="1:1" ht="13.5" customHeight="1">
      <c r="A299" s="119"/>
    </row>
    <row r="300" spans="1:1" ht="13.5" customHeight="1">
      <c r="A300" s="119"/>
    </row>
    <row r="301" spans="1:1" ht="13.5" customHeight="1">
      <c r="A301" s="119"/>
    </row>
    <row r="302" spans="1:1" ht="13.5" customHeight="1">
      <c r="A302" s="119"/>
    </row>
    <row r="303" spans="1:1" ht="13.5" customHeight="1">
      <c r="A303" s="119"/>
    </row>
    <row r="304" spans="1:1" ht="13.5" customHeight="1">
      <c r="A304" s="119"/>
    </row>
    <row r="305" spans="1:1" ht="13.5" customHeight="1">
      <c r="A305" s="119"/>
    </row>
    <row r="306" spans="1:1" ht="13.5" customHeight="1">
      <c r="A306" s="119"/>
    </row>
    <row r="307" spans="1:1" ht="13.5" customHeight="1">
      <c r="A307" s="119"/>
    </row>
    <row r="308" spans="1:1" ht="13.5" customHeight="1">
      <c r="A308" s="119"/>
    </row>
    <row r="309" spans="1:1" ht="13.5" customHeight="1">
      <c r="A309" s="119"/>
    </row>
    <row r="310" spans="1:1" ht="13.5" customHeight="1">
      <c r="A310" s="119"/>
    </row>
    <row r="311" spans="1:1" ht="13.5" customHeight="1">
      <c r="A311" s="119"/>
    </row>
    <row r="312" spans="1:1" ht="13.5" customHeight="1">
      <c r="A312" s="119"/>
    </row>
    <row r="313" spans="1:1" ht="13.5" customHeight="1">
      <c r="A313" s="119"/>
    </row>
    <row r="314" spans="1:1" ht="13.5" customHeight="1">
      <c r="A314" s="119"/>
    </row>
    <row r="315" spans="1:1" ht="13.5" customHeight="1">
      <c r="A315" s="119"/>
    </row>
    <row r="316" spans="1:1" ht="13.5" customHeight="1">
      <c r="A316" s="119"/>
    </row>
    <row r="317" spans="1:1" ht="13.5" customHeight="1">
      <c r="A317" s="119"/>
    </row>
    <row r="318" spans="1:1" ht="13.5" customHeight="1">
      <c r="A318" s="119"/>
    </row>
    <row r="319" spans="1:1" ht="13.5" customHeight="1">
      <c r="A319" s="119"/>
    </row>
    <row r="320" spans="1:1" ht="13.5" customHeight="1">
      <c r="A320" s="119"/>
    </row>
    <row r="321" spans="1:1" ht="13.5" customHeight="1">
      <c r="A321" s="119"/>
    </row>
    <row r="322" spans="1:1" ht="13.5" customHeight="1">
      <c r="A322" s="119"/>
    </row>
    <row r="323" spans="1:1" ht="13.5" customHeight="1">
      <c r="A323" s="119"/>
    </row>
    <row r="324" spans="1:1" ht="13.5" customHeight="1">
      <c r="A324" s="119"/>
    </row>
    <row r="325" spans="1:1" ht="13.5" customHeight="1">
      <c r="A325" s="119"/>
    </row>
    <row r="326" spans="1:1" ht="13.5" customHeight="1">
      <c r="A326" s="119"/>
    </row>
    <row r="327" spans="1:1" ht="13.5" customHeight="1">
      <c r="A327" s="119"/>
    </row>
    <row r="328" spans="1:1" ht="13.5" customHeight="1">
      <c r="A328" s="119"/>
    </row>
    <row r="329" spans="1:1" ht="13.5" customHeight="1">
      <c r="A329" s="119"/>
    </row>
    <row r="330" spans="1:1" ht="13.5" customHeight="1">
      <c r="A330" s="119"/>
    </row>
    <row r="331" spans="1:1" ht="13.5" customHeight="1">
      <c r="A331" s="119"/>
    </row>
    <row r="332" spans="1:1" ht="13.5" customHeight="1">
      <c r="A332" s="119"/>
    </row>
    <row r="333" spans="1:1" ht="13.5" customHeight="1">
      <c r="A333" s="119"/>
    </row>
    <row r="334" spans="1:1" ht="13.5" customHeight="1">
      <c r="A334" s="119"/>
    </row>
    <row r="335" spans="1:1" ht="13.5" customHeight="1">
      <c r="A335" s="119"/>
    </row>
    <row r="336" spans="1:1" ht="13.5" customHeight="1">
      <c r="A336" s="119"/>
    </row>
    <row r="337" spans="1:1" ht="13.5" customHeight="1">
      <c r="A337" s="119"/>
    </row>
    <row r="338" spans="1:1" ht="13.5" customHeight="1">
      <c r="A338" s="119"/>
    </row>
    <row r="339" spans="1:1" ht="13.5" customHeight="1">
      <c r="A339" s="119"/>
    </row>
    <row r="340" spans="1:1" ht="13.5" customHeight="1">
      <c r="A340" s="119"/>
    </row>
    <row r="341" spans="1:1" ht="13.5" customHeight="1">
      <c r="A341" s="119"/>
    </row>
    <row r="342" spans="1:1" ht="13.5" customHeight="1">
      <c r="A342" s="119"/>
    </row>
    <row r="343" spans="1:1" ht="13.5" customHeight="1">
      <c r="A343" s="119"/>
    </row>
    <row r="344" spans="1:1" ht="13.5" customHeight="1">
      <c r="A344" s="119"/>
    </row>
    <row r="345" spans="1:1" ht="13.5" customHeight="1">
      <c r="A345" s="119"/>
    </row>
    <row r="346" spans="1:1" ht="13.5" customHeight="1">
      <c r="A346" s="119"/>
    </row>
    <row r="347" spans="1:1" ht="13.5" customHeight="1">
      <c r="A347" s="119"/>
    </row>
    <row r="348" spans="1:1" ht="13.5" customHeight="1">
      <c r="A348" s="119"/>
    </row>
    <row r="349" spans="1:1" ht="13.5" customHeight="1">
      <c r="A349" s="119"/>
    </row>
    <row r="350" spans="1:1" ht="13.5" customHeight="1">
      <c r="A350" s="119"/>
    </row>
    <row r="351" spans="1:1" ht="13.5" customHeight="1">
      <c r="A351" s="119"/>
    </row>
    <row r="352" spans="1:1" ht="13.5" customHeight="1">
      <c r="A352" s="119"/>
    </row>
    <row r="353" spans="1:1" ht="13.5" customHeight="1">
      <c r="A353" s="119"/>
    </row>
    <row r="354" spans="1:1" ht="13.5" customHeight="1">
      <c r="A354" s="119"/>
    </row>
    <row r="355" spans="1:1" ht="13.5" customHeight="1">
      <c r="A355" s="119"/>
    </row>
    <row r="356" spans="1:1" ht="13.5" customHeight="1">
      <c r="A356" s="119"/>
    </row>
    <row r="357" spans="1:1" ht="13.5" customHeight="1">
      <c r="A357" s="119"/>
    </row>
    <row r="358" spans="1:1" ht="13.5" customHeight="1">
      <c r="A358" s="119"/>
    </row>
    <row r="359" spans="1:1" ht="13.5" customHeight="1">
      <c r="A359" s="119"/>
    </row>
    <row r="360" spans="1:1" ht="13.5" customHeight="1">
      <c r="A360" s="119"/>
    </row>
    <row r="361" spans="1:1" ht="13.5" customHeight="1">
      <c r="A361" s="119"/>
    </row>
    <row r="362" spans="1:1" ht="13.5" customHeight="1">
      <c r="A362" s="119"/>
    </row>
    <row r="363" spans="1:1" ht="13.5" customHeight="1">
      <c r="A363" s="119"/>
    </row>
    <row r="364" spans="1:1" ht="13.5" customHeight="1">
      <c r="A364" s="119"/>
    </row>
    <row r="365" spans="1:1" ht="13.5" customHeight="1">
      <c r="A365" s="119"/>
    </row>
    <row r="366" spans="1:1" ht="13.5" customHeight="1">
      <c r="A366" s="119"/>
    </row>
    <row r="367" spans="1:1" ht="13.5" customHeight="1">
      <c r="A367" s="119"/>
    </row>
    <row r="368" spans="1:1" ht="13.5" customHeight="1">
      <c r="A368" s="119"/>
    </row>
    <row r="369" spans="1:1" ht="13.5" customHeight="1">
      <c r="A369" s="119"/>
    </row>
    <row r="370" spans="1:1" ht="13.5" customHeight="1">
      <c r="A370" s="119"/>
    </row>
    <row r="371" spans="1:1" ht="13.5" customHeight="1">
      <c r="A371" s="119"/>
    </row>
    <row r="372" spans="1:1" ht="13.5" customHeight="1">
      <c r="A372" s="119"/>
    </row>
    <row r="373" spans="1:1" ht="13.5" customHeight="1">
      <c r="A373" s="119"/>
    </row>
    <row r="374" spans="1:1" ht="13.5" customHeight="1">
      <c r="A374" s="119"/>
    </row>
    <row r="375" spans="1:1" ht="13.5" customHeight="1">
      <c r="A375" s="119"/>
    </row>
    <row r="376" spans="1:1" ht="13.5" customHeight="1">
      <c r="A376" s="119"/>
    </row>
    <row r="377" spans="1:1" ht="13.5" customHeight="1">
      <c r="A377" s="119"/>
    </row>
    <row r="378" spans="1:1" ht="13.5" customHeight="1">
      <c r="A378" s="119"/>
    </row>
    <row r="379" spans="1:1" ht="13.5" customHeight="1">
      <c r="A379" s="119"/>
    </row>
    <row r="380" spans="1:1" ht="13.5" customHeight="1">
      <c r="A380" s="119"/>
    </row>
    <row r="381" spans="1:1" ht="13.5" customHeight="1">
      <c r="A381" s="119"/>
    </row>
    <row r="382" spans="1:1" ht="13.5" customHeight="1">
      <c r="A382" s="119"/>
    </row>
    <row r="383" spans="1:1" ht="13.5" customHeight="1">
      <c r="A383" s="119"/>
    </row>
    <row r="384" spans="1:1" ht="13.5" customHeight="1">
      <c r="A384" s="119"/>
    </row>
    <row r="385" spans="1:1" ht="13.5" customHeight="1">
      <c r="A385" s="119"/>
    </row>
    <row r="386" spans="1:1" ht="13.5" customHeight="1">
      <c r="A386" s="119"/>
    </row>
    <row r="387" spans="1:1" ht="13.5" customHeight="1">
      <c r="A387" s="119"/>
    </row>
    <row r="388" spans="1:1" ht="13.5" customHeight="1">
      <c r="A388" s="119"/>
    </row>
    <row r="389" spans="1:1" ht="13.5" customHeight="1">
      <c r="A389" s="119"/>
    </row>
    <row r="390" spans="1:1" ht="13.5" customHeight="1">
      <c r="A390" s="119"/>
    </row>
    <row r="391" spans="1:1" ht="13.5" customHeight="1">
      <c r="A391" s="119"/>
    </row>
    <row r="392" spans="1:1" ht="13.5" customHeight="1">
      <c r="A392" s="119"/>
    </row>
    <row r="393" spans="1:1" ht="13.5" customHeight="1">
      <c r="A393" s="119"/>
    </row>
    <row r="394" spans="1:1" ht="13.5" customHeight="1">
      <c r="A394" s="119"/>
    </row>
    <row r="395" spans="1:1" ht="13.5" customHeight="1">
      <c r="A395" s="119"/>
    </row>
    <row r="396" spans="1:1" ht="13.5" customHeight="1">
      <c r="A396" s="119"/>
    </row>
    <row r="397" spans="1:1" ht="13.5" customHeight="1">
      <c r="A397" s="119"/>
    </row>
    <row r="398" spans="1:1" ht="13.5" customHeight="1">
      <c r="A398" s="119"/>
    </row>
    <row r="399" spans="1:1" ht="13.5" customHeight="1">
      <c r="A399" s="119"/>
    </row>
    <row r="400" spans="1:1" ht="13.5" customHeight="1">
      <c r="A400" s="119"/>
    </row>
    <row r="401" spans="1:1" ht="13.5" customHeight="1">
      <c r="A401" s="119"/>
    </row>
    <row r="402" spans="1:1" ht="13.5" customHeight="1">
      <c r="A402" s="119"/>
    </row>
    <row r="403" spans="1:1" ht="13.5" customHeight="1">
      <c r="A403" s="119"/>
    </row>
    <row r="404" spans="1:1" ht="13.5" customHeight="1">
      <c r="A404" s="119"/>
    </row>
    <row r="405" spans="1:1" ht="13.5" customHeight="1">
      <c r="A405" s="119"/>
    </row>
    <row r="406" spans="1:1" ht="13.5" customHeight="1">
      <c r="A406" s="119"/>
    </row>
    <row r="407" spans="1:1" ht="13.5" customHeight="1">
      <c r="A407" s="119"/>
    </row>
    <row r="408" spans="1:1" ht="13.5" customHeight="1">
      <c r="A408" s="119"/>
    </row>
    <row r="409" spans="1:1" ht="13.5" customHeight="1">
      <c r="A409" s="119"/>
    </row>
    <row r="410" spans="1:1" ht="13.5" customHeight="1">
      <c r="A410" s="119"/>
    </row>
    <row r="411" spans="1:1" ht="13.5" customHeight="1">
      <c r="A411" s="119"/>
    </row>
    <row r="412" spans="1:1" ht="13.5" customHeight="1">
      <c r="A412" s="119"/>
    </row>
    <row r="413" spans="1:1" ht="13.5" customHeight="1">
      <c r="A413" s="119"/>
    </row>
    <row r="414" spans="1:1" ht="13.5" customHeight="1">
      <c r="A414" s="119"/>
    </row>
    <row r="415" spans="1:1" ht="13.5" customHeight="1">
      <c r="A415" s="119"/>
    </row>
    <row r="416" spans="1:1" ht="13.5" customHeight="1">
      <c r="A416" s="119"/>
    </row>
    <row r="417" spans="1:1" ht="13.5" customHeight="1">
      <c r="A417" s="119"/>
    </row>
    <row r="418" spans="1:1" ht="13.5" customHeight="1">
      <c r="A418" s="119"/>
    </row>
    <row r="419" spans="1:1" ht="13.5" customHeight="1">
      <c r="A419" s="119"/>
    </row>
    <row r="420" spans="1:1" ht="13.5" customHeight="1">
      <c r="A420" s="119"/>
    </row>
    <row r="421" spans="1:1" ht="13.5" customHeight="1">
      <c r="A421" s="119"/>
    </row>
    <row r="422" spans="1:1" ht="13.5" customHeight="1">
      <c r="A422" s="119"/>
    </row>
    <row r="423" spans="1:1" ht="13.5" customHeight="1">
      <c r="A423" s="119"/>
    </row>
    <row r="424" spans="1:1" ht="13.5" customHeight="1">
      <c r="A424" s="119"/>
    </row>
    <row r="425" spans="1:1" ht="13.5" customHeight="1">
      <c r="A425" s="119"/>
    </row>
    <row r="426" spans="1:1" ht="13.5" customHeight="1">
      <c r="A426" s="119"/>
    </row>
    <row r="427" spans="1:1" ht="13.5" customHeight="1">
      <c r="A427" s="119"/>
    </row>
    <row r="428" spans="1:1" ht="13.5" customHeight="1">
      <c r="A428" s="119"/>
    </row>
    <row r="429" spans="1:1" ht="13.5" customHeight="1">
      <c r="A429" s="119"/>
    </row>
    <row r="430" spans="1:1" ht="13.5" customHeight="1">
      <c r="A430" s="119"/>
    </row>
    <row r="431" spans="1:1" ht="13.5" customHeight="1">
      <c r="A431" s="119"/>
    </row>
    <row r="432" spans="1:1" ht="13.5" customHeight="1">
      <c r="A432" s="119"/>
    </row>
    <row r="433" spans="1:1" ht="13.5" customHeight="1">
      <c r="A433" s="119"/>
    </row>
    <row r="434" spans="1:1" ht="13.5" customHeight="1">
      <c r="A434" s="119"/>
    </row>
    <row r="435" spans="1:1" ht="13.5" customHeight="1">
      <c r="A435" s="119"/>
    </row>
    <row r="436" spans="1:1" ht="13.5" customHeight="1">
      <c r="A436" s="119"/>
    </row>
    <row r="437" spans="1:1" ht="13.5" customHeight="1">
      <c r="A437" s="119"/>
    </row>
    <row r="438" spans="1:1" ht="13.5" customHeight="1">
      <c r="A438" s="119"/>
    </row>
    <row r="439" spans="1:1" ht="13.5" customHeight="1">
      <c r="A439" s="119"/>
    </row>
    <row r="440" spans="1:1" ht="13.5" customHeight="1">
      <c r="A440" s="119"/>
    </row>
    <row r="441" spans="1:1" ht="13.5" customHeight="1">
      <c r="A441" s="119"/>
    </row>
    <row r="442" spans="1:1" ht="13.5" customHeight="1">
      <c r="A442" s="119"/>
    </row>
    <row r="443" spans="1:1" ht="13.5" customHeight="1">
      <c r="A443" s="119"/>
    </row>
    <row r="444" spans="1:1" ht="13.5" customHeight="1">
      <c r="A444" s="119"/>
    </row>
    <row r="445" spans="1:1" ht="13.5" customHeight="1">
      <c r="A445" s="119"/>
    </row>
    <row r="446" spans="1:1" ht="13.5" customHeight="1">
      <c r="A446" s="119"/>
    </row>
    <row r="447" spans="1:1" ht="13.5" customHeight="1">
      <c r="A447" s="119"/>
    </row>
    <row r="448" spans="1:1" ht="13.5" customHeight="1">
      <c r="A448" s="119"/>
    </row>
    <row r="449" spans="1:1" ht="13.5" customHeight="1">
      <c r="A449" s="119"/>
    </row>
    <row r="450" spans="1:1" ht="13.5" customHeight="1">
      <c r="A450" s="119"/>
    </row>
    <row r="451" spans="1:1" ht="13.5" customHeight="1">
      <c r="A451" s="119"/>
    </row>
    <row r="452" spans="1:1" ht="13.5" customHeight="1">
      <c r="A452" s="119"/>
    </row>
    <row r="453" spans="1:1" ht="13.5" customHeight="1">
      <c r="A453" s="119"/>
    </row>
    <row r="454" spans="1:1" ht="13.5" customHeight="1">
      <c r="A454" s="119"/>
    </row>
    <row r="455" spans="1:1" ht="13.5" customHeight="1">
      <c r="A455" s="119"/>
    </row>
    <row r="456" spans="1:1" ht="13.5" customHeight="1">
      <c r="A456" s="119"/>
    </row>
    <row r="457" spans="1:1" ht="13.5" customHeight="1">
      <c r="A457" s="119"/>
    </row>
    <row r="458" spans="1:1" ht="13.5" customHeight="1">
      <c r="A458" s="119"/>
    </row>
    <row r="459" spans="1:1" ht="13.5" customHeight="1">
      <c r="A459" s="119"/>
    </row>
    <row r="460" spans="1:1" ht="13.5" customHeight="1">
      <c r="A460" s="119"/>
    </row>
    <row r="461" spans="1:1" ht="13.5" customHeight="1">
      <c r="A461" s="119"/>
    </row>
    <row r="462" spans="1:1" ht="13.5" customHeight="1">
      <c r="A462" s="119"/>
    </row>
    <row r="463" spans="1:1" ht="13.5" customHeight="1">
      <c r="A463" s="119"/>
    </row>
    <row r="464" spans="1:1" ht="13.5" customHeight="1">
      <c r="A464" s="119"/>
    </row>
    <row r="465" spans="1:1" ht="13.5" customHeight="1">
      <c r="A465" s="119"/>
    </row>
    <row r="466" spans="1:1" ht="13.5" customHeight="1">
      <c r="A466" s="119"/>
    </row>
    <row r="467" spans="1:1" ht="13.5" customHeight="1">
      <c r="A467" s="119"/>
    </row>
    <row r="468" spans="1:1" ht="13.5" customHeight="1">
      <c r="A468" s="119"/>
    </row>
    <row r="469" spans="1:1" ht="13.5" customHeight="1">
      <c r="A469" s="119"/>
    </row>
    <row r="470" spans="1:1" ht="13.5" customHeight="1">
      <c r="A470" s="119"/>
    </row>
    <row r="471" spans="1:1" ht="13.5" customHeight="1">
      <c r="A471" s="119"/>
    </row>
    <row r="472" spans="1:1" ht="13.5" customHeight="1">
      <c r="A472" s="119"/>
    </row>
    <row r="473" spans="1:1" ht="13.5" customHeight="1">
      <c r="A473" s="119"/>
    </row>
    <row r="474" spans="1:1" ht="13.5" customHeight="1">
      <c r="A474" s="119"/>
    </row>
    <row r="475" spans="1:1" ht="13.5" customHeight="1">
      <c r="A475" s="119"/>
    </row>
    <row r="476" spans="1:1" ht="13.5" customHeight="1">
      <c r="A476" s="119"/>
    </row>
    <row r="477" spans="1:1" ht="13.5" customHeight="1">
      <c r="A477" s="119"/>
    </row>
    <row r="478" spans="1:1" ht="13.5" customHeight="1">
      <c r="A478" s="119"/>
    </row>
    <row r="479" spans="1:1" ht="13.5" customHeight="1">
      <c r="A479" s="119"/>
    </row>
    <row r="480" spans="1:1" ht="13.5" customHeight="1">
      <c r="A480" s="119"/>
    </row>
    <row r="481" spans="1:1" ht="13.5" customHeight="1">
      <c r="A481" s="119"/>
    </row>
    <row r="482" spans="1:1" ht="13.5" customHeight="1">
      <c r="A482" s="119"/>
    </row>
    <row r="483" spans="1:1" ht="13.5" customHeight="1">
      <c r="A483" s="119"/>
    </row>
    <row r="484" spans="1:1" ht="13.5" customHeight="1">
      <c r="A484" s="119"/>
    </row>
    <row r="485" spans="1:1" ht="13.5" customHeight="1">
      <c r="A485" s="119"/>
    </row>
    <row r="486" spans="1:1" ht="13.5" customHeight="1">
      <c r="A486" s="119"/>
    </row>
    <row r="487" spans="1:1" ht="13.5" customHeight="1">
      <c r="A487" s="119"/>
    </row>
    <row r="488" spans="1:1" ht="13.5" customHeight="1">
      <c r="A488" s="119"/>
    </row>
    <row r="489" spans="1:1" ht="13.5" customHeight="1">
      <c r="A489" s="119"/>
    </row>
    <row r="490" spans="1:1" ht="13.5" customHeight="1">
      <c r="A490" s="119"/>
    </row>
    <row r="491" spans="1:1" ht="13.5" customHeight="1">
      <c r="A491" s="119"/>
    </row>
    <row r="492" spans="1:1" ht="13.5" customHeight="1">
      <c r="A492" s="119"/>
    </row>
    <row r="493" spans="1:1" ht="13.5" customHeight="1">
      <c r="A493" s="119"/>
    </row>
    <row r="494" spans="1:1" ht="13.5" customHeight="1">
      <c r="A494" s="119"/>
    </row>
    <row r="495" spans="1:1" ht="13.5" customHeight="1">
      <c r="A495" s="119"/>
    </row>
    <row r="496" spans="1:1" ht="13.5" customHeight="1">
      <c r="A496" s="119"/>
    </row>
    <row r="497" spans="1:1" ht="13.5" customHeight="1">
      <c r="A497" s="119"/>
    </row>
    <row r="498" spans="1:1" ht="13.5" customHeight="1">
      <c r="A498" s="119"/>
    </row>
    <row r="499" spans="1:1" ht="13.5" customHeight="1">
      <c r="A499" s="119"/>
    </row>
    <row r="500" spans="1:1" ht="13.5" customHeight="1">
      <c r="A500" s="119"/>
    </row>
    <row r="501" spans="1:1" ht="13.5" customHeight="1">
      <c r="A501" s="119"/>
    </row>
    <row r="502" spans="1:1" ht="13.5" customHeight="1">
      <c r="A502" s="119"/>
    </row>
    <row r="503" spans="1:1" ht="13.5" customHeight="1">
      <c r="A503" s="119"/>
    </row>
    <row r="504" spans="1:1" ht="13.5" customHeight="1">
      <c r="A504" s="119"/>
    </row>
    <row r="505" spans="1:1" ht="13.5" customHeight="1">
      <c r="A505" s="119"/>
    </row>
    <row r="506" spans="1:1" ht="13.5" customHeight="1">
      <c r="A506" s="119"/>
    </row>
    <row r="507" spans="1:1" ht="13.5" customHeight="1">
      <c r="A507" s="119"/>
    </row>
    <row r="508" spans="1:1" ht="13.5" customHeight="1">
      <c r="A508" s="119"/>
    </row>
    <row r="509" spans="1:1" ht="13.5" customHeight="1">
      <c r="A509" s="119"/>
    </row>
    <row r="510" spans="1:1" ht="13.5" customHeight="1">
      <c r="A510" s="119"/>
    </row>
    <row r="511" spans="1:1" ht="13.5" customHeight="1">
      <c r="A511" s="119"/>
    </row>
    <row r="512" spans="1:1" ht="13.5" customHeight="1">
      <c r="A512" s="119"/>
    </row>
    <row r="513" spans="1:1" ht="13.5" customHeight="1">
      <c r="A513" s="119"/>
    </row>
    <row r="514" spans="1:1" ht="13.5" customHeight="1">
      <c r="A514" s="119"/>
    </row>
    <row r="515" spans="1:1" ht="13.5" customHeight="1">
      <c r="A515" s="119"/>
    </row>
    <row r="516" spans="1:1" ht="13.5" customHeight="1">
      <c r="A516" s="119"/>
    </row>
    <row r="517" spans="1:1" ht="13.5" customHeight="1">
      <c r="A517" s="119"/>
    </row>
    <row r="518" spans="1:1" ht="13.5" customHeight="1">
      <c r="A518" s="119"/>
    </row>
    <row r="519" spans="1:1" ht="13.5" customHeight="1">
      <c r="A519" s="119"/>
    </row>
    <row r="520" spans="1:1" ht="13.5" customHeight="1">
      <c r="A520" s="119"/>
    </row>
    <row r="521" spans="1:1" ht="13.5" customHeight="1">
      <c r="A521" s="119"/>
    </row>
    <row r="522" spans="1:1" ht="13.5" customHeight="1">
      <c r="A522" s="119"/>
    </row>
    <row r="523" spans="1:1" ht="13.5" customHeight="1">
      <c r="A523" s="119"/>
    </row>
    <row r="524" spans="1:1" ht="13.5" customHeight="1">
      <c r="A524" s="119"/>
    </row>
    <row r="525" spans="1:1" ht="13.5" customHeight="1">
      <c r="A525" s="119"/>
    </row>
    <row r="526" spans="1:1" ht="13.5" customHeight="1">
      <c r="A526" s="119"/>
    </row>
    <row r="527" spans="1:1" ht="13.5" customHeight="1">
      <c r="A527" s="119"/>
    </row>
    <row r="528" spans="1:1" ht="13.5" customHeight="1">
      <c r="A528" s="119"/>
    </row>
    <row r="529" spans="1:1" ht="13.5" customHeight="1">
      <c r="A529" s="119"/>
    </row>
    <row r="530" spans="1:1" ht="13.5" customHeight="1">
      <c r="A530" s="119"/>
    </row>
    <row r="531" spans="1:1" ht="13.5" customHeight="1">
      <c r="A531" s="119"/>
    </row>
    <row r="532" spans="1:1" ht="13.5" customHeight="1">
      <c r="A532" s="119"/>
    </row>
    <row r="533" spans="1:1" ht="13.5" customHeight="1">
      <c r="A533" s="119"/>
    </row>
    <row r="534" spans="1:1" ht="13.5" customHeight="1">
      <c r="A534" s="119"/>
    </row>
    <row r="535" spans="1:1" ht="13.5" customHeight="1">
      <c r="A535" s="119"/>
    </row>
    <row r="536" spans="1:1" ht="13.5" customHeight="1">
      <c r="A536" s="119"/>
    </row>
    <row r="537" spans="1:1" ht="13.5" customHeight="1">
      <c r="A537" s="119"/>
    </row>
    <row r="538" spans="1:1" ht="13.5" customHeight="1">
      <c r="A538" s="119"/>
    </row>
    <row r="539" spans="1:1" ht="13.5" customHeight="1">
      <c r="A539" s="119"/>
    </row>
    <row r="540" spans="1:1" ht="13.5" customHeight="1">
      <c r="A540" s="119"/>
    </row>
    <row r="541" spans="1:1" ht="13.5" customHeight="1">
      <c r="A541" s="119"/>
    </row>
    <row r="542" spans="1:1" ht="13.5" customHeight="1">
      <c r="A542" s="119"/>
    </row>
    <row r="543" spans="1:1" ht="13.5" customHeight="1">
      <c r="A543" s="119"/>
    </row>
    <row r="544" spans="1:1" ht="13.5" customHeight="1">
      <c r="A544" s="119"/>
    </row>
    <row r="545" spans="1:1" ht="13.5" customHeight="1">
      <c r="A545" s="119"/>
    </row>
    <row r="546" spans="1:1" ht="13.5" customHeight="1">
      <c r="A546" s="119"/>
    </row>
    <row r="547" spans="1:1" ht="13.5" customHeight="1">
      <c r="A547" s="119"/>
    </row>
    <row r="548" spans="1:1" ht="13.5" customHeight="1">
      <c r="A548" s="119"/>
    </row>
    <row r="549" spans="1:1" ht="13.5" customHeight="1">
      <c r="A549" s="119"/>
    </row>
    <row r="550" spans="1:1" ht="13.5" customHeight="1">
      <c r="A550" s="119"/>
    </row>
    <row r="551" spans="1:1" ht="13.5" customHeight="1">
      <c r="A551" s="119"/>
    </row>
    <row r="552" spans="1:1" ht="13.5" customHeight="1">
      <c r="A552" s="119"/>
    </row>
    <row r="553" spans="1:1" ht="13.5" customHeight="1">
      <c r="A553" s="119"/>
    </row>
    <row r="554" spans="1:1" ht="13.5" customHeight="1">
      <c r="A554" s="119"/>
    </row>
    <row r="555" spans="1:1" ht="13.5" customHeight="1">
      <c r="A555" s="119"/>
    </row>
    <row r="556" spans="1:1" ht="13.5" customHeight="1">
      <c r="A556" s="119"/>
    </row>
    <row r="557" spans="1:1" ht="13.5" customHeight="1">
      <c r="A557" s="119"/>
    </row>
    <row r="558" spans="1:1" ht="13.5" customHeight="1">
      <c r="A558" s="119"/>
    </row>
    <row r="559" spans="1:1" ht="13.5" customHeight="1">
      <c r="A559" s="119"/>
    </row>
    <row r="560" spans="1:1" ht="13.5" customHeight="1">
      <c r="A560" s="119"/>
    </row>
    <row r="561" spans="1:1" ht="13.5" customHeight="1">
      <c r="A561" s="119"/>
    </row>
    <row r="562" spans="1:1" ht="13.5" customHeight="1">
      <c r="A562" s="119"/>
    </row>
    <row r="563" spans="1:1" ht="13.5" customHeight="1">
      <c r="A563" s="119"/>
    </row>
    <row r="564" spans="1:1" ht="13.5" customHeight="1">
      <c r="A564" s="119"/>
    </row>
    <row r="565" spans="1:1" ht="13.5" customHeight="1">
      <c r="A565" s="119"/>
    </row>
    <row r="566" spans="1:1" ht="13.5" customHeight="1">
      <c r="A566" s="119"/>
    </row>
    <row r="567" spans="1:1" ht="13.5" customHeight="1">
      <c r="A567" s="119"/>
    </row>
    <row r="568" spans="1:1" ht="13.5" customHeight="1">
      <c r="A568" s="119"/>
    </row>
    <row r="569" spans="1:1" ht="13.5" customHeight="1">
      <c r="A569" s="119"/>
    </row>
    <row r="570" spans="1:1" ht="13.5" customHeight="1">
      <c r="A570" s="119"/>
    </row>
    <row r="571" spans="1:1" ht="13.5" customHeight="1">
      <c r="A571" s="119"/>
    </row>
    <row r="572" spans="1:1" ht="13.5" customHeight="1">
      <c r="A572" s="119"/>
    </row>
    <row r="573" spans="1:1" ht="13.5" customHeight="1">
      <c r="A573" s="119"/>
    </row>
    <row r="574" spans="1:1" ht="13.5" customHeight="1">
      <c r="A574" s="119"/>
    </row>
    <row r="575" spans="1:1" ht="13.5" customHeight="1">
      <c r="A575" s="119"/>
    </row>
    <row r="576" spans="1:1" ht="13.5" customHeight="1">
      <c r="A576" s="119"/>
    </row>
    <row r="577" spans="1:1" ht="13.5" customHeight="1">
      <c r="A577" s="119"/>
    </row>
    <row r="578" spans="1:1" ht="13.5" customHeight="1">
      <c r="A578" s="119"/>
    </row>
    <row r="579" spans="1:1" ht="13.5" customHeight="1">
      <c r="A579" s="119"/>
    </row>
    <row r="580" spans="1:1" ht="13.5" customHeight="1">
      <c r="A580" s="119"/>
    </row>
    <row r="581" spans="1:1" ht="13.5" customHeight="1">
      <c r="A581" s="119"/>
    </row>
    <row r="582" spans="1:1" ht="13.5" customHeight="1">
      <c r="A582" s="119"/>
    </row>
    <row r="583" spans="1:1" ht="13.5" customHeight="1">
      <c r="A583" s="119"/>
    </row>
    <row r="584" spans="1:1" ht="13.5" customHeight="1">
      <c r="A584" s="119"/>
    </row>
    <row r="585" spans="1:1" ht="13.5" customHeight="1">
      <c r="A585" s="119"/>
    </row>
    <row r="586" spans="1:1" ht="13.5" customHeight="1">
      <c r="A586" s="119"/>
    </row>
    <row r="587" spans="1:1" ht="13.5" customHeight="1">
      <c r="A587" s="119"/>
    </row>
    <row r="588" spans="1:1" ht="13.5" customHeight="1">
      <c r="A588" s="119"/>
    </row>
    <row r="589" spans="1:1" ht="13.5" customHeight="1">
      <c r="A589" s="119"/>
    </row>
    <row r="590" spans="1:1" ht="13.5" customHeight="1">
      <c r="A590" s="119"/>
    </row>
    <row r="591" spans="1:1" ht="13.5" customHeight="1">
      <c r="A591" s="119"/>
    </row>
    <row r="592" spans="1:1" ht="13.5" customHeight="1">
      <c r="A592" s="119"/>
    </row>
    <row r="593" spans="1:1" ht="13.5" customHeight="1">
      <c r="A593" s="119"/>
    </row>
    <row r="594" spans="1:1" ht="13.5" customHeight="1">
      <c r="A594" s="119"/>
    </row>
    <row r="595" spans="1:1" ht="13.5" customHeight="1">
      <c r="A595" s="119"/>
    </row>
    <row r="596" spans="1:1" ht="13.5" customHeight="1">
      <c r="A596" s="119"/>
    </row>
    <row r="597" spans="1:1" ht="13.5" customHeight="1">
      <c r="A597" s="119"/>
    </row>
    <row r="598" spans="1:1" ht="13.5" customHeight="1">
      <c r="A598" s="119"/>
    </row>
    <row r="599" spans="1:1" ht="13.5" customHeight="1">
      <c r="A599" s="119"/>
    </row>
    <row r="600" spans="1:1" ht="13.5" customHeight="1">
      <c r="A600" s="119"/>
    </row>
    <row r="601" spans="1:1" ht="13.5" customHeight="1">
      <c r="A601" s="119"/>
    </row>
    <row r="602" spans="1:1" ht="13.5" customHeight="1">
      <c r="A602" s="119"/>
    </row>
    <row r="603" spans="1:1" ht="13.5" customHeight="1">
      <c r="A603" s="119"/>
    </row>
    <row r="604" spans="1:1" ht="13.5" customHeight="1">
      <c r="A604" s="119"/>
    </row>
    <row r="605" spans="1:1" ht="13.5" customHeight="1">
      <c r="A605" s="119"/>
    </row>
    <row r="606" spans="1:1" ht="13.5" customHeight="1">
      <c r="A606" s="119"/>
    </row>
    <row r="607" spans="1:1" ht="13.5" customHeight="1">
      <c r="A607" s="119"/>
    </row>
    <row r="608" spans="1:1" ht="13.5" customHeight="1">
      <c r="A608" s="119"/>
    </row>
    <row r="609" spans="1:1" ht="13.5" customHeight="1">
      <c r="A609" s="119"/>
    </row>
    <row r="610" spans="1:1" ht="13.5" customHeight="1">
      <c r="A610" s="119"/>
    </row>
    <row r="611" spans="1:1" ht="13.5" customHeight="1">
      <c r="A611" s="119"/>
    </row>
    <row r="612" spans="1:1" ht="13.5" customHeight="1">
      <c r="A612" s="119"/>
    </row>
    <row r="613" spans="1:1" ht="13.5" customHeight="1">
      <c r="A613" s="119"/>
    </row>
    <row r="614" spans="1:1" ht="13.5" customHeight="1">
      <c r="A614" s="119"/>
    </row>
    <row r="615" spans="1:1" ht="13.5" customHeight="1">
      <c r="A615" s="119"/>
    </row>
    <row r="616" spans="1:1" ht="13.5" customHeight="1">
      <c r="A616" s="119"/>
    </row>
    <row r="617" spans="1:1" ht="13.5" customHeight="1">
      <c r="A617" s="119"/>
    </row>
    <row r="618" spans="1:1" ht="13.5" customHeight="1">
      <c r="A618" s="119"/>
    </row>
    <row r="619" spans="1:1" ht="13.5" customHeight="1">
      <c r="A619" s="119"/>
    </row>
    <row r="620" spans="1:1" ht="13.5" customHeight="1">
      <c r="A620" s="119"/>
    </row>
    <row r="621" spans="1:1" ht="13.5" customHeight="1">
      <c r="A621" s="119"/>
    </row>
    <row r="622" spans="1:1" ht="13.5" customHeight="1">
      <c r="A622" s="119"/>
    </row>
    <row r="623" spans="1:1" ht="13.5" customHeight="1">
      <c r="A623" s="119"/>
    </row>
    <row r="624" spans="1:1" ht="13.5" customHeight="1">
      <c r="A624" s="119"/>
    </row>
    <row r="625" spans="1:1" ht="13.5" customHeight="1">
      <c r="A625" s="119"/>
    </row>
    <row r="626" spans="1:1" ht="13.5" customHeight="1">
      <c r="A626" s="119"/>
    </row>
    <row r="627" spans="1:1" ht="13.5" customHeight="1">
      <c r="A627" s="119"/>
    </row>
    <row r="628" spans="1:1" ht="13.5" customHeight="1">
      <c r="A628" s="119"/>
    </row>
    <row r="629" spans="1:1" ht="13.5" customHeight="1">
      <c r="A629" s="119"/>
    </row>
    <row r="630" spans="1:1" ht="13.5" customHeight="1">
      <c r="A630" s="119"/>
    </row>
    <row r="631" spans="1:1" ht="13.5" customHeight="1">
      <c r="A631" s="119"/>
    </row>
    <row r="632" spans="1:1" ht="13.5" customHeight="1">
      <c r="A632" s="119"/>
    </row>
    <row r="633" spans="1:1" ht="13.5" customHeight="1">
      <c r="A633" s="119"/>
    </row>
    <row r="634" spans="1:1" ht="13.5" customHeight="1">
      <c r="A634" s="119"/>
    </row>
    <row r="635" spans="1:1" ht="13.5" customHeight="1">
      <c r="A635" s="119"/>
    </row>
    <row r="636" spans="1:1" ht="13.5" customHeight="1">
      <c r="A636" s="119"/>
    </row>
    <row r="637" spans="1:1" ht="13.5" customHeight="1">
      <c r="A637" s="119"/>
    </row>
    <row r="638" spans="1:1" ht="13.5" customHeight="1">
      <c r="A638" s="119"/>
    </row>
    <row r="639" spans="1:1" ht="13.5" customHeight="1">
      <c r="A639" s="119"/>
    </row>
    <row r="640" spans="1:1" ht="13.5" customHeight="1">
      <c r="A640" s="119"/>
    </row>
    <row r="641" spans="1:1" ht="13.5" customHeight="1">
      <c r="A641" s="119"/>
    </row>
    <row r="642" spans="1:1" ht="13.5" customHeight="1">
      <c r="A642" s="119"/>
    </row>
    <row r="643" spans="1:1" ht="13.5" customHeight="1">
      <c r="A643" s="119"/>
    </row>
    <row r="644" spans="1:1" ht="13.5" customHeight="1">
      <c r="A644" s="119"/>
    </row>
    <row r="645" spans="1:1" ht="13.5" customHeight="1">
      <c r="A645" s="119"/>
    </row>
    <row r="646" spans="1:1" ht="13.5" customHeight="1">
      <c r="A646" s="119"/>
    </row>
    <row r="647" spans="1:1" ht="13.5" customHeight="1">
      <c r="A647" s="119"/>
    </row>
    <row r="648" spans="1:1" ht="13.5" customHeight="1">
      <c r="A648" s="119"/>
    </row>
    <row r="649" spans="1:1" ht="13.5" customHeight="1">
      <c r="A649" s="119"/>
    </row>
    <row r="650" spans="1:1" ht="13.5" customHeight="1">
      <c r="A650" s="119"/>
    </row>
    <row r="651" spans="1:1" ht="13.5" customHeight="1">
      <c r="A651" s="119"/>
    </row>
    <row r="652" spans="1:1" ht="13.5" customHeight="1">
      <c r="A652" s="119"/>
    </row>
    <row r="653" spans="1:1" ht="13.5" customHeight="1">
      <c r="A653" s="119"/>
    </row>
    <row r="654" spans="1:1" ht="13.5" customHeight="1">
      <c r="A654" s="119"/>
    </row>
    <row r="655" spans="1:1" ht="13.5" customHeight="1">
      <c r="A655" s="119"/>
    </row>
    <row r="656" spans="1:1" ht="13.5" customHeight="1">
      <c r="A656" s="119"/>
    </row>
    <row r="657" spans="1:1" ht="13.5" customHeight="1">
      <c r="A657" s="119"/>
    </row>
    <row r="658" spans="1:1" ht="13.5" customHeight="1">
      <c r="A658" s="119"/>
    </row>
    <row r="659" spans="1:1" ht="13.5" customHeight="1">
      <c r="A659" s="119"/>
    </row>
    <row r="660" spans="1:1" ht="13.5" customHeight="1">
      <c r="A660" s="119"/>
    </row>
    <row r="661" spans="1:1" ht="13.5" customHeight="1">
      <c r="A661" s="119"/>
    </row>
    <row r="662" spans="1:1" ht="13.5" customHeight="1">
      <c r="A662" s="119"/>
    </row>
    <row r="663" spans="1:1" ht="13.5" customHeight="1">
      <c r="A663" s="119"/>
    </row>
    <row r="664" spans="1:1" ht="13.5" customHeight="1">
      <c r="A664" s="119"/>
    </row>
    <row r="665" spans="1:1" ht="13.5" customHeight="1">
      <c r="A665" s="119"/>
    </row>
    <row r="666" spans="1:1" ht="13.5" customHeight="1">
      <c r="A666" s="119"/>
    </row>
    <row r="667" spans="1:1" ht="13.5" customHeight="1">
      <c r="A667" s="119"/>
    </row>
    <row r="668" spans="1:1" ht="13.5" customHeight="1">
      <c r="A668" s="119"/>
    </row>
    <row r="669" spans="1:1" ht="13.5" customHeight="1">
      <c r="A669" s="119"/>
    </row>
    <row r="670" spans="1:1" ht="13.5" customHeight="1">
      <c r="A670" s="119"/>
    </row>
    <row r="671" spans="1:1" ht="13.5" customHeight="1">
      <c r="A671" s="119"/>
    </row>
    <row r="672" spans="1:1" ht="13.5" customHeight="1">
      <c r="A672" s="119"/>
    </row>
    <row r="673" spans="1:1" ht="13.5" customHeight="1">
      <c r="A673" s="119"/>
    </row>
    <row r="674" spans="1:1" ht="13.5" customHeight="1">
      <c r="A674" s="119"/>
    </row>
    <row r="675" spans="1:1" ht="13.5" customHeight="1">
      <c r="A675" s="119"/>
    </row>
    <row r="676" spans="1:1" ht="13.5" customHeight="1">
      <c r="A676" s="119"/>
    </row>
    <row r="677" spans="1:1" ht="13.5" customHeight="1">
      <c r="A677" s="119"/>
    </row>
    <row r="678" spans="1:1" ht="13.5" customHeight="1">
      <c r="A678" s="119"/>
    </row>
    <row r="679" spans="1:1" ht="13.5" customHeight="1">
      <c r="A679" s="119"/>
    </row>
    <row r="680" spans="1:1" ht="13.5" customHeight="1">
      <c r="A680" s="119"/>
    </row>
    <row r="681" spans="1:1" ht="13.5" customHeight="1">
      <c r="A681" s="119"/>
    </row>
    <row r="682" spans="1:1" ht="13.5" customHeight="1">
      <c r="A682" s="119"/>
    </row>
    <row r="683" spans="1:1" ht="13.5" customHeight="1">
      <c r="A683" s="119"/>
    </row>
    <row r="684" spans="1:1" ht="13.5" customHeight="1">
      <c r="A684" s="119"/>
    </row>
    <row r="685" spans="1:1" ht="13.5" customHeight="1">
      <c r="A685" s="119"/>
    </row>
    <row r="686" spans="1:1" ht="13.5" customHeight="1">
      <c r="A686" s="119"/>
    </row>
    <row r="687" spans="1:1" ht="13.5" customHeight="1">
      <c r="A687" s="119"/>
    </row>
    <row r="688" spans="1:1" ht="13.5" customHeight="1">
      <c r="A688" s="119"/>
    </row>
    <row r="689" spans="1:1" ht="13.5" customHeight="1">
      <c r="A689" s="119"/>
    </row>
    <row r="690" spans="1:1" ht="13.5" customHeight="1">
      <c r="A690" s="119"/>
    </row>
    <row r="691" spans="1:1" ht="13.5" customHeight="1">
      <c r="A691" s="119"/>
    </row>
    <row r="692" spans="1:1" ht="13.5" customHeight="1">
      <c r="A692" s="119"/>
    </row>
    <row r="693" spans="1:1" ht="13.5" customHeight="1">
      <c r="A693" s="119"/>
    </row>
    <row r="694" spans="1:1" ht="13.5" customHeight="1">
      <c r="A694" s="119"/>
    </row>
    <row r="695" spans="1:1" ht="13.5" customHeight="1">
      <c r="A695" s="119"/>
    </row>
    <row r="696" spans="1:1" ht="13.5" customHeight="1">
      <c r="A696" s="119"/>
    </row>
    <row r="697" spans="1:1" ht="13.5" customHeight="1">
      <c r="A697" s="119"/>
    </row>
    <row r="698" spans="1:1" ht="13.5" customHeight="1">
      <c r="A698" s="119"/>
    </row>
    <row r="699" spans="1:1" ht="13.5" customHeight="1">
      <c r="A699" s="119"/>
    </row>
    <row r="700" spans="1:1" ht="13.5" customHeight="1">
      <c r="A700" s="119"/>
    </row>
    <row r="701" spans="1:1" ht="13.5" customHeight="1">
      <c r="A701" s="119"/>
    </row>
    <row r="702" spans="1:1" ht="13.5" customHeight="1">
      <c r="A702" s="119"/>
    </row>
    <row r="703" spans="1:1" ht="13.5" customHeight="1">
      <c r="A703" s="119"/>
    </row>
    <row r="704" spans="1:1" ht="13.5" customHeight="1">
      <c r="A704" s="119"/>
    </row>
    <row r="705" spans="1:1" ht="13.5" customHeight="1">
      <c r="A705" s="119"/>
    </row>
    <row r="706" spans="1:1" ht="13.5" customHeight="1">
      <c r="A706" s="119"/>
    </row>
    <row r="707" spans="1:1" ht="13.5" customHeight="1">
      <c r="A707" s="119"/>
    </row>
    <row r="708" spans="1:1" ht="13.5" customHeight="1">
      <c r="A708" s="119"/>
    </row>
    <row r="709" spans="1:1" ht="13.5" customHeight="1">
      <c r="A709" s="119"/>
    </row>
    <row r="710" spans="1:1" ht="13.5" customHeight="1">
      <c r="A710" s="119"/>
    </row>
    <row r="711" spans="1:1" ht="13.5" customHeight="1">
      <c r="A711" s="119"/>
    </row>
    <row r="712" spans="1:1" ht="13.5" customHeight="1">
      <c r="A712" s="119"/>
    </row>
    <row r="713" spans="1:1" ht="13.5" customHeight="1">
      <c r="A713" s="119"/>
    </row>
    <row r="714" spans="1:1" ht="13.5" customHeight="1">
      <c r="A714" s="119"/>
    </row>
    <row r="715" spans="1:1" ht="13.5" customHeight="1">
      <c r="A715" s="119"/>
    </row>
    <row r="716" spans="1:1" ht="13.5" customHeight="1">
      <c r="A716" s="119"/>
    </row>
    <row r="717" spans="1:1" ht="13.5" customHeight="1">
      <c r="A717" s="119"/>
    </row>
    <row r="718" spans="1:1" ht="13.5" customHeight="1">
      <c r="A718" s="119"/>
    </row>
    <row r="719" spans="1:1" ht="13.5" customHeight="1">
      <c r="A719" s="119"/>
    </row>
    <row r="720" spans="1:1" ht="13.5" customHeight="1">
      <c r="A720" s="119"/>
    </row>
    <row r="721" spans="1:1" ht="13.5" customHeight="1">
      <c r="A721" s="119"/>
    </row>
    <row r="722" spans="1:1" ht="13.5" customHeight="1">
      <c r="A722" s="119"/>
    </row>
    <row r="723" spans="1:1" ht="13.5" customHeight="1">
      <c r="A723" s="119"/>
    </row>
    <row r="724" spans="1:1" ht="13.5" customHeight="1">
      <c r="A724" s="119"/>
    </row>
    <row r="725" spans="1:1" ht="13.5" customHeight="1">
      <c r="A725" s="119"/>
    </row>
    <row r="726" spans="1:1" ht="13.5" customHeight="1">
      <c r="A726" s="119"/>
    </row>
    <row r="727" spans="1:1" ht="13.5" customHeight="1">
      <c r="A727" s="119"/>
    </row>
    <row r="728" spans="1:1" ht="13.5" customHeight="1">
      <c r="A728" s="119"/>
    </row>
    <row r="729" spans="1:1" ht="13.5" customHeight="1">
      <c r="A729" s="119"/>
    </row>
    <row r="730" spans="1:1" ht="13.5" customHeight="1">
      <c r="A730" s="119"/>
    </row>
    <row r="731" spans="1:1" ht="13.5" customHeight="1">
      <c r="A731" s="119"/>
    </row>
    <row r="732" spans="1:1" ht="13.5" customHeight="1">
      <c r="A732" s="119"/>
    </row>
    <row r="733" spans="1:1" ht="13.5" customHeight="1">
      <c r="A733" s="119"/>
    </row>
    <row r="734" spans="1:1" ht="13.5" customHeight="1">
      <c r="A734" s="119"/>
    </row>
    <row r="735" spans="1:1" ht="13.5" customHeight="1">
      <c r="A735" s="119"/>
    </row>
    <row r="736" spans="1:1" ht="13.5" customHeight="1">
      <c r="A736" s="119"/>
    </row>
    <row r="737" spans="1:1" ht="13.5" customHeight="1">
      <c r="A737" s="119"/>
    </row>
    <row r="738" spans="1:1" ht="13.5" customHeight="1">
      <c r="A738" s="119"/>
    </row>
    <row r="739" spans="1:1" ht="13.5" customHeight="1">
      <c r="A739" s="119"/>
    </row>
    <row r="740" spans="1:1" ht="13.5" customHeight="1">
      <c r="A740" s="119"/>
    </row>
    <row r="741" spans="1:1" ht="13.5" customHeight="1">
      <c r="A741" s="119"/>
    </row>
    <row r="742" spans="1:1" ht="13.5" customHeight="1">
      <c r="A742" s="119"/>
    </row>
    <row r="743" spans="1:1" ht="13.5" customHeight="1">
      <c r="A743" s="119"/>
    </row>
    <row r="744" spans="1:1" ht="13.5" customHeight="1">
      <c r="A744" s="119"/>
    </row>
    <row r="745" spans="1:1" ht="13.5" customHeight="1">
      <c r="A745" s="119"/>
    </row>
    <row r="746" spans="1:1" ht="13.5" customHeight="1">
      <c r="A746" s="119"/>
    </row>
    <row r="747" spans="1:1" ht="13.5" customHeight="1">
      <c r="A747" s="119"/>
    </row>
    <row r="748" spans="1:1" ht="13.5" customHeight="1">
      <c r="A748" s="119"/>
    </row>
    <row r="749" spans="1:1" ht="13.5" customHeight="1">
      <c r="A749" s="119"/>
    </row>
    <row r="750" spans="1:1" ht="13.5" customHeight="1">
      <c r="A750" s="119"/>
    </row>
    <row r="751" spans="1:1" ht="13.5" customHeight="1">
      <c r="A751" s="119"/>
    </row>
    <row r="752" spans="1:1" ht="13.5" customHeight="1">
      <c r="A752" s="119"/>
    </row>
    <row r="753" spans="1:1" ht="13.5" customHeight="1">
      <c r="A753" s="119"/>
    </row>
    <row r="754" spans="1:1" ht="13.5" customHeight="1">
      <c r="A754" s="119"/>
    </row>
    <row r="755" spans="1:1" ht="13.5" customHeight="1">
      <c r="A755" s="119"/>
    </row>
    <row r="756" spans="1:1" ht="13.5" customHeight="1">
      <c r="A756" s="119"/>
    </row>
    <row r="757" spans="1:1" ht="13.5" customHeight="1">
      <c r="A757" s="119"/>
    </row>
    <row r="758" spans="1:1" ht="13.5" customHeight="1">
      <c r="A758" s="119"/>
    </row>
    <row r="759" spans="1:1" ht="13.5" customHeight="1">
      <c r="A759" s="119"/>
    </row>
    <row r="760" spans="1:1" ht="13.5" customHeight="1">
      <c r="A760" s="119"/>
    </row>
    <row r="761" spans="1:1" ht="13.5" customHeight="1">
      <c r="A761" s="119"/>
    </row>
    <row r="762" spans="1:1" ht="13.5" customHeight="1">
      <c r="A762" s="119"/>
    </row>
    <row r="763" spans="1:1" ht="13.5" customHeight="1">
      <c r="A763" s="119"/>
    </row>
    <row r="764" spans="1:1" ht="13.5" customHeight="1">
      <c r="A764" s="119"/>
    </row>
    <row r="765" spans="1:1" ht="13.5" customHeight="1">
      <c r="A765" s="119"/>
    </row>
    <row r="766" spans="1:1" ht="13.5" customHeight="1">
      <c r="A766" s="119"/>
    </row>
    <row r="767" spans="1:1" ht="13.5" customHeight="1">
      <c r="A767" s="119"/>
    </row>
    <row r="768" spans="1:1" ht="13.5" customHeight="1">
      <c r="A768" s="119"/>
    </row>
    <row r="769" spans="1:1" ht="13.5" customHeight="1">
      <c r="A769" s="119"/>
    </row>
    <row r="770" spans="1:1" ht="13.5" customHeight="1">
      <c r="A770" s="119"/>
    </row>
    <row r="771" spans="1:1" ht="13.5" customHeight="1">
      <c r="A771" s="119"/>
    </row>
    <row r="772" spans="1:1" ht="13.5" customHeight="1">
      <c r="A772" s="119"/>
    </row>
    <row r="773" spans="1:1" ht="13.5" customHeight="1">
      <c r="A773" s="119"/>
    </row>
    <row r="774" spans="1:1" ht="13.5" customHeight="1">
      <c r="A774" s="119"/>
    </row>
    <row r="775" spans="1:1" ht="13.5" customHeight="1">
      <c r="A775" s="119"/>
    </row>
    <row r="776" spans="1:1" ht="13.5" customHeight="1">
      <c r="A776" s="119"/>
    </row>
    <row r="777" spans="1:1" ht="13.5" customHeight="1">
      <c r="A777" s="119"/>
    </row>
    <row r="778" spans="1:1" ht="13.5" customHeight="1">
      <c r="A778" s="119"/>
    </row>
    <row r="779" spans="1:1" ht="13.5" customHeight="1">
      <c r="A779" s="119"/>
    </row>
    <row r="780" spans="1:1" ht="13.5" customHeight="1">
      <c r="A780" s="119"/>
    </row>
    <row r="781" spans="1:1" ht="13.5" customHeight="1">
      <c r="A781" s="119"/>
    </row>
    <row r="782" spans="1:1" ht="13.5" customHeight="1">
      <c r="A782" s="119"/>
    </row>
    <row r="783" spans="1:1" ht="13.5" customHeight="1">
      <c r="A783" s="119"/>
    </row>
    <row r="784" spans="1:1" ht="13.5" customHeight="1">
      <c r="A784" s="119"/>
    </row>
    <row r="785" spans="1:1" ht="13.5" customHeight="1">
      <c r="A785" s="119"/>
    </row>
    <row r="786" spans="1:1" ht="13.5" customHeight="1">
      <c r="A786" s="119"/>
    </row>
    <row r="787" spans="1:1" ht="13.5" customHeight="1">
      <c r="A787" s="119"/>
    </row>
    <row r="788" spans="1:1" ht="13.5" customHeight="1">
      <c r="A788" s="119"/>
    </row>
    <row r="789" spans="1:1" ht="13.5" customHeight="1">
      <c r="A789" s="119"/>
    </row>
    <row r="790" spans="1:1" ht="13.5" customHeight="1">
      <c r="A790" s="119"/>
    </row>
    <row r="791" spans="1:1" ht="13.5" customHeight="1">
      <c r="A791" s="119"/>
    </row>
    <row r="792" spans="1:1" ht="13.5" customHeight="1">
      <c r="A792" s="119"/>
    </row>
    <row r="793" spans="1:1" ht="13.5" customHeight="1">
      <c r="A793" s="119"/>
    </row>
    <row r="794" spans="1:1" ht="13.5" customHeight="1">
      <c r="A794" s="119"/>
    </row>
    <row r="795" spans="1:1" ht="13.5" customHeight="1">
      <c r="A795" s="119"/>
    </row>
    <row r="796" spans="1:1" ht="13.5" customHeight="1">
      <c r="A796" s="119"/>
    </row>
    <row r="797" spans="1:1" ht="13.5" customHeight="1">
      <c r="A797" s="119"/>
    </row>
    <row r="798" spans="1:1" ht="13.5" customHeight="1">
      <c r="A798" s="119"/>
    </row>
    <row r="799" spans="1:1" ht="13.5" customHeight="1">
      <c r="A799" s="119"/>
    </row>
    <row r="800" spans="1:1" ht="13.5" customHeight="1">
      <c r="A800" s="119"/>
    </row>
    <row r="801" spans="1:1" ht="13.5" customHeight="1">
      <c r="A801" s="119"/>
    </row>
    <row r="802" spans="1:1" ht="13.5" customHeight="1">
      <c r="A802" s="119"/>
    </row>
    <row r="803" spans="1:1" ht="13.5" customHeight="1">
      <c r="A803" s="119"/>
    </row>
    <row r="804" spans="1:1" ht="13.5" customHeight="1">
      <c r="A804" s="119"/>
    </row>
    <row r="805" spans="1:1" ht="13.5" customHeight="1">
      <c r="A805" s="119"/>
    </row>
    <row r="806" spans="1:1" ht="13.5" customHeight="1">
      <c r="A806" s="119"/>
    </row>
    <row r="807" spans="1:1" ht="13.5" customHeight="1">
      <c r="A807" s="119"/>
    </row>
    <row r="808" spans="1:1" ht="13.5" customHeight="1">
      <c r="A808" s="119"/>
    </row>
    <row r="809" spans="1:1" ht="13.5" customHeight="1">
      <c r="A809" s="119"/>
    </row>
    <row r="810" spans="1:1" ht="13.5" customHeight="1">
      <c r="A810" s="119"/>
    </row>
    <row r="811" spans="1:1" ht="13.5" customHeight="1">
      <c r="A811" s="119"/>
    </row>
    <row r="812" spans="1:1" ht="13.5" customHeight="1">
      <c r="A812" s="119"/>
    </row>
    <row r="813" spans="1:1" ht="13.5" customHeight="1">
      <c r="A813" s="119"/>
    </row>
    <row r="814" spans="1:1" ht="13.5" customHeight="1">
      <c r="A814" s="119"/>
    </row>
    <row r="815" spans="1:1" ht="13.5" customHeight="1">
      <c r="A815" s="119"/>
    </row>
    <row r="816" spans="1:1" ht="13.5" customHeight="1">
      <c r="A816" s="119"/>
    </row>
    <row r="817" spans="1:1" ht="13.5" customHeight="1">
      <c r="A817" s="119"/>
    </row>
    <row r="818" spans="1:1" ht="13.5" customHeight="1">
      <c r="A818" s="119"/>
    </row>
    <row r="819" spans="1:1" ht="13.5" customHeight="1">
      <c r="A819" s="119"/>
    </row>
    <row r="820" spans="1:1" ht="13.5" customHeight="1">
      <c r="A820" s="119"/>
    </row>
    <row r="821" spans="1:1" ht="13.5" customHeight="1">
      <c r="A821" s="119"/>
    </row>
    <row r="822" spans="1:1" ht="13.5" customHeight="1">
      <c r="A822" s="119"/>
    </row>
    <row r="823" spans="1:1" ht="13.5" customHeight="1">
      <c r="A823" s="119"/>
    </row>
    <row r="824" spans="1:1" ht="13.5" customHeight="1">
      <c r="A824" s="119"/>
    </row>
    <row r="825" spans="1:1" ht="13.5" customHeight="1">
      <c r="A825" s="119"/>
    </row>
    <row r="826" spans="1:1" ht="13.5" customHeight="1">
      <c r="A826" s="119"/>
    </row>
    <row r="827" spans="1:1" ht="13.5" customHeight="1">
      <c r="A827" s="119"/>
    </row>
    <row r="828" spans="1:1" ht="13.5" customHeight="1">
      <c r="A828" s="119"/>
    </row>
    <row r="829" spans="1:1" ht="13.5" customHeight="1">
      <c r="A829" s="119"/>
    </row>
    <row r="830" spans="1:1" ht="13.5" customHeight="1">
      <c r="A830" s="119"/>
    </row>
    <row r="831" spans="1:1" ht="13.5" customHeight="1">
      <c r="A831" s="119"/>
    </row>
    <row r="832" spans="1:1" ht="13.5" customHeight="1">
      <c r="A832" s="119"/>
    </row>
    <row r="833" spans="1:1" ht="13.5" customHeight="1">
      <c r="A833" s="119"/>
    </row>
    <row r="834" spans="1:1" ht="13.5" customHeight="1">
      <c r="A834" s="119"/>
    </row>
    <row r="835" spans="1:1" ht="13.5" customHeight="1">
      <c r="A835" s="119"/>
    </row>
    <row r="836" spans="1:1" ht="13.5" customHeight="1">
      <c r="A836" s="119"/>
    </row>
    <row r="837" spans="1:1" ht="13.5" customHeight="1">
      <c r="A837" s="119"/>
    </row>
    <row r="838" spans="1:1" ht="13.5" customHeight="1">
      <c r="A838" s="119"/>
    </row>
    <row r="839" spans="1:1" ht="13.5" customHeight="1">
      <c r="A839" s="119"/>
    </row>
    <row r="840" spans="1:1" ht="13.5" customHeight="1">
      <c r="A840" s="119"/>
    </row>
    <row r="841" spans="1:1" ht="13.5" customHeight="1">
      <c r="A841" s="119"/>
    </row>
    <row r="842" spans="1:1" ht="13.5" customHeight="1">
      <c r="A842" s="119"/>
    </row>
    <row r="843" spans="1:1" ht="13.5" customHeight="1">
      <c r="A843" s="119"/>
    </row>
    <row r="844" spans="1:1" ht="13.5" customHeight="1">
      <c r="A844" s="119"/>
    </row>
    <row r="845" spans="1:1" ht="13.5" customHeight="1">
      <c r="A845" s="119"/>
    </row>
    <row r="846" spans="1:1" ht="13.5" customHeight="1">
      <c r="A846" s="119"/>
    </row>
    <row r="847" spans="1:1" ht="13.5" customHeight="1">
      <c r="A847" s="119"/>
    </row>
    <row r="848" spans="1:1" ht="13.5" customHeight="1">
      <c r="A848" s="119"/>
    </row>
    <row r="849" spans="1:1" ht="13.5" customHeight="1">
      <c r="A849" s="119"/>
    </row>
    <row r="850" spans="1:1" ht="13.5" customHeight="1">
      <c r="A850" s="119"/>
    </row>
    <row r="851" spans="1:1" ht="13.5" customHeight="1">
      <c r="A851" s="119"/>
    </row>
    <row r="852" spans="1:1" ht="13.5" customHeight="1">
      <c r="A852" s="119"/>
    </row>
    <row r="853" spans="1:1" ht="13.5" customHeight="1">
      <c r="A853" s="119"/>
    </row>
    <row r="854" spans="1:1" ht="13.5" customHeight="1">
      <c r="A854" s="119"/>
    </row>
    <row r="855" spans="1:1" ht="13.5" customHeight="1">
      <c r="A855" s="119"/>
    </row>
    <row r="856" spans="1:1" ht="13.5" customHeight="1">
      <c r="A856" s="119"/>
    </row>
    <row r="857" spans="1:1" ht="13.5" customHeight="1">
      <c r="A857" s="119"/>
    </row>
    <row r="858" spans="1:1" ht="13.5" customHeight="1">
      <c r="A858" s="119"/>
    </row>
    <row r="859" spans="1:1" ht="13.5" customHeight="1">
      <c r="A859" s="119"/>
    </row>
    <row r="860" spans="1:1" ht="13.5" customHeight="1">
      <c r="A860" s="119"/>
    </row>
    <row r="861" spans="1:1" ht="13.5" customHeight="1">
      <c r="A861" s="119"/>
    </row>
    <row r="862" spans="1:1" ht="13.5" customHeight="1">
      <c r="A862" s="119"/>
    </row>
    <row r="863" spans="1:1" ht="13.5" customHeight="1">
      <c r="A863" s="119"/>
    </row>
    <row r="864" spans="1:1" ht="13.5" customHeight="1">
      <c r="A864" s="119"/>
    </row>
    <row r="865" spans="1:1" ht="13.5" customHeight="1">
      <c r="A865" s="119"/>
    </row>
    <row r="866" spans="1:1" ht="13.5" customHeight="1">
      <c r="A866" s="119"/>
    </row>
    <row r="867" spans="1:1" ht="13.5" customHeight="1">
      <c r="A867" s="119"/>
    </row>
    <row r="868" spans="1:1" ht="13.5" customHeight="1">
      <c r="A868" s="119"/>
    </row>
    <row r="869" spans="1:1" ht="13.5" customHeight="1">
      <c r="A869" s="119"/>
    </row>
    <row r="870" spans="1:1" ht="13.5" customHeight="1">
      <c r="A870" s="119"/>
    </row>
    <row r="871" spans="1:1" ht="13.5" customHeight="1">
      <c r="A871" s="119"/>
    </row>
    <row r="872" spans="1:1" ht="13.5" customHeight="1">
      <c r="A872" s="119"/>
    </row>
    <row r="873" spans="1:1" ht="13.5" customHeight="1">
      <c r="A873" s="119"/>
    </row>
    <row r="874" spans="1:1" ht="13.5" customHeight="1">
      <c r="A874" s="119"/>
    </row>
    <row r="875" spans="1:1" ht="13.5" customHeight="1">
      <c r="A875" s="119"/>
    </row>
    <row r="876" spans="1:1" ht="13.5" customHeight="1">
      <c r="A876" s="119"/>
    </row>
    <row r="877" spans="1:1" ht="13.5" customHeight="1">
      <c r="A877" s="119"/>
    </row>
    <row r="878" spans="1:1" ht="13.5" customHeight="1">
      <c r="A878" s="119"/>
    </row>
    <row r="879" spans="1:1" ht="13.5" customHeight="1">
      <c r="A879" s="119"/>
    </row>
    <row r="880" spans="1:1" ht="13.5" customHeight="1">
      <c r="A880" s="119"/>
    </row>
    <row r="881" spans="1:1" ht="13.5" customHeight="1">
      <c r="A881" s="119"/>
    </row>
    <row r="882" spans="1:1" ht="13.5" customHeight="1">
      <c r="A882" s="119"/>
    </row>
    <row r="883" spans="1:1" ht="13.5" customHeight="1">
      <c r="A883" s="119"/>
    </row>
    <row r="884" spans="1:1" ht="13.5" customHeight="1">
      <c r="A884" s="119"/>
    </row>
    <row r="885" spans="1:1" ht="13.5" customHeight="1">
      <c r="A885" s="119"/>
    </row>
    <row r="886" spans="1:1" ht="13.5" customHeight="1">
      <c r="A886" s="119"/>
    </row>
    <row r="887" spans="1:1" ht="13.5" customHeight="1">
      <c r="A887" s="119"/>
    </row>
    <row r="888" spans="1:1" ht="13.5" customHeight="1">
      <c r="A888" s="119"/>
    </row>
    <row r="889" spans="1:1" ht="13.5" customHeight="1">
      <c r="A889" s="119"/>
    </row>
    <row r="890" spans="1:1" ht="13.5" customHeight="1">
      <c r="A890" s="119"/>
    </row>
    <row r="891" spans="1:1" ht="13.5" customHeight="1">
      <c r="A891" s="119"/>
    </row>
    <row r="892" spans="1:1" ht="13.5" customHeight="1">
      <c r="A892" s="119"/>
    </row>
    <row r="893" spans="1:1" ht="13.5" customHeight="1">
      <c r="A893" s="119"/>
    </row>
    <row r="894" spans="1:1" ht="13.5" customHeight="1">
      <c r="A894" s="119"/>
    </row>
    <row r="895" spans="1:1" ht="13.5" customHeight="1">
      <c r="A895" s="119"/>
    </row>
    <row r="896" spans="1:1" ht="13.5" customHeight="1">
      <c r="A896" s="119"/>
    </row>
    <row r="897" spans="1:1" ht="13.5" customHeight="1">
      <c r="A897" s="119"/>
    </row>
    <row r="898" spans="1:1" ht="13.5" customHeight="1">
      <c r="A898" s="119"/>
    </row>
    <row r="899" spans="1:1" ht="13.5" customHeight="1">
      <c r="A899" s="119"/>
    </row>
    <row r="900" spans="1:1" ht="13.5" customHeight="1">
      <c r="A900" s="119"/>
    </row>
    <row r="901" spans="1:1" ht="13.5" customHeight="1">
      <c r="A901" s="119"/>
    </row>
    <row r="902" spans="1:1" ht="13.5" customHeight="1">
      <c r="A902" s="119"/>
    </row>
    <row r="903" spans="1:1" ht="13.5" customHeight="1">
      <c r="A903" s="119"/>
    </row>
    <row r="904" spans="1:1" ht="13.5" customHeight="1">
      <c r="A904" s="119"/>
    </row>
    <row r="905" spans="1:1" ht="13.5" customHeight="1">
      <c r="A905" s="119"/>
    </row>
    <row r="906" spans="1:1" ht="13.5" customHeight="1">
      <c r="A906" s="119"/>
    </row>
    <row r="907" spans="1:1" ht="13.5" customHeight="1">
      <c r="A907" s="119"/>
    </row>
    <row r="908" spans="1:1" ht="13.5" customHeight="1">
      <c r="A908" s="119"/>
    </row>
    <row r="909" spans="1:1" ht="13.5" customHeight="1">
      <c r="A909" s="119"/>
    </row>
    <row r="910" spans="1:1" ht="13.5" customHeight="1">
      <c r="A910" s="119"/>
    </row>
    <row r="911" spans="1:1" ht="13.5" customHeight="1">
      <c r="A911" s="119"/>
    </row>
    <row r="912" spans="1:1" ht="13.5" customHeight="1">
      <c r="A912" s="119"/>
    </row>
    <row r="913" spans="1:1" ht="13.5" customHeight="1">
      <c r="A913" s="119"/>
    </row>
    <row r="914" spans="1:1" ht="13.5" customHeight="1">
      <c r="A914" s="119"/>
    </row>
    <row r="915" spans="1:1" ht="13.5" customHeight="1">
      <c r="A915" s="119"/>
    </row>
    <row r="916" spans="1:1" ht="13.5" customHeight="1">
      <c r="A916" s="119"/>
    </row>
    <row r="917" spans="1:1" ht="13.5" customHeight="1">
      <c r="A917" s="119"/>
    </row>
    <row r="918" spans="1:1" ht="13.5" customHeight="1">
      <c r="A918" s="119"/>
    </row>
    <row r="919" spans="1:1" ht="13.5" customHeight="1">
      <c r="A919" s="119"/>
    </row>
    <row r="920" spans="1:1" ht="13.5" customHeight="1">
      <c r="A920" s="119"/>
    </row>
    <row r="921" spans="1:1" ht="13.5" customHeight="1">
      <c r="A921" s="119"/>
    </row>
    <row r="922" spans="1:1" ht="13.5" customHeight="1">
      <c r="A922" s="119"/>
    </row>
    <row r="923" spans="1:1" ht="13.5" customHeight="1">
      <c r="A923" s="119"/>
    </row>
    <row r="924" spans="1:1" ht="13.5" customHeight="1">
      <c r="A924" s="119"/>
    </row>
    <row r="925" spans="1:1" ht="13.5" customHeight="1">
      <c r="A925" s="119"/>
    </row>
    <row r="926" spans="1:1" ht="13.5" customHeight="1">
      <c r="A926" s="119"/>
    </row>
    <row r="927" spans="1:1" ht="13.5" customHeight="1">
      <c r="A927" s="119"/>
    </row>
    <row r="928" spans="1:1" ht="13.5" customHeight="1">
      <c r="A928" s="119"/>
    </row>
    <row r="929" spans="1:1" ht="13.5" customHeight="1">
      <c r="A929" s="119"/>
    </row>
    <row r="930" spans="1:1" ht="13.5" customHeight="1">
      <c r="A930" s="119"/>
    </row>
    <row r="931" spans="1:1" ht="13.5" customHeight="1">
      <c r="A931" s="119"/>
    </row>
    <row r="932" spans="1:1" ht="13.5" customHeight="1">
      <c r="A932" s="119"/>
    </row>
    <row r="933" spans="1:1" ht="13.5" customHeight="1">
      <c r="A933" s="119"/>
    </row>
    <row r="934" spans="1:1" ht="13.5" customHeight="1">
      <c r="A934" s="119"/>
    </row>
    <row r="935" spans="1:1" ht="13.5" customHeight="1">
      <c r="A935" s="119"/>
    </row>
    <row r="936" spans="1:1" ht="13.5" customHeight="1">
      <c r="A936" s="119"/>
    </row>
    <row r="937" spans="1:1" ht="13.5" customHeight="1">
      <c r="A937" s="119"/>
    </row>
    <row r="938" spans="1:1" ht="13.5" customHeight="1">
      <c r="A938" s="119"/>
    </row>
    <row r="939" spans="1:1" ht="13.5" customHeight="1">
      <c r="A939" s="119"/>
    </row>
    <row r="940" spans="1:1" ht="13.5" customHeight="1">
      <c r="A940" s="119"/>
    </row>
    <row r="941" spans="1:1" ht="13.5" customHeight="1">
      <c r="A941" s="119"/>
    </row>
    <row r="942" spans="1:1" ht="13.5" customHeight="1">
      <c r="A942" s="119"/>
    </row>
    <row r="943" spans="1:1" ht="13.5" customHeight="1">
      <c r="A943" s="119"/>
    </row>
    <row r="944" spans="1:1" ht="13.5" customHeight="1">
      <c r="A944" s="119"/>
    </row>
    <row r="945" spans="1:1" ht="13.5" customHeight="1">
      <c r="A945" s="119"/>
    </row>
    <row r="946" spans="1:1" ht="13.5" customHeight="1">
      <c r="A946" s="119"/>
    </row>
    <row r="947" spans="1:1" ht="13.5" customHeight="1">
      <c r="A947" s="119"/>
    </row>
    <row r="948" spans="1:1" ht="13.5" customHeight="1">
      <c r="A948" s="119"/>
    </row>
    <row r="949" spans="1:1" ht="13.5" customHeight="1">
      <c r="A949" s="119"/>
    </row>
    <row r="950" spans="1:1" ht="13.5" customHeight="1">
      <c r="A950" s="119"/>
    </row>
    <row r="951" spans="1:1" ht="13.5" customHeight="1">
      <c r="A951" s="119"/>
    </row>
    <row r="952" spans="1:1" ht="13.5" customHeight="1">
      <c r="A952" s="119"/>
    </row>
    <row r="953" spans="1:1" ht="13.5" customHeight="1">
      <c r="A953" s="119"/>
    </row>
    <row r="954" spans="1:1" ht="13.5" customHeight="1">
      <c r="A954" s="119"/>
    </row>
    <row r="955" spans="1:1" ht="13.5" customHeight="1">
      <c r="A955" s="119"/>
    </row>
    <row r="956" spans="1:1" ht="13.5" customHeight="1">
      <c r="A956" s="119"/>
    </row>
    <row r="957" spans="1:1" ht="13.5" customHeight="1">
      <c r="A957" s="119"/>
    </row>
    <row r="958" spans="1:1" ht="13.5" customHeight="1">
      <c r="A958" s="119"/>
    </row>
    <row r="959" spans="1:1" ht="13.5" customHeight="1">
      <c r="A959" s="119"/>
    </row>
    <row r="960" spans="1:1" ht="13.5" customHeight="1">
      <c r="A960" s="119"/>
    </row>
    <row r="961" spans="1:1" ht="13.5" customHeight="1">
      <c r="A961" s="119"/>
    </row>
    <row r="962" spans="1:1" ht="13.5" customHeight="1">
      <c r="A962" s="119"/>
    </row>
    <row r="963" spans="1:1" ht="13.5" customHeight="1">
      <c r="A963" s="119"/>
    </row>
    <row r="964" spans="1:1" ht="13.5" customHeight="1">
      <c r="A964" s="119"/>
    </row>
    <row r="965" spans="1:1" ht="13.5" customHeight="1">
      <c r="A965" s="119"/>
    </row>
    <row r="966" spans="1:1" ht="13.5" customHeight="1">
      <c r="A966" s="119"/>
    </row>
    <row r="967" spans="1:1" ht="13.5" customHeight="1">
      <c r="A967" s="119"/>
    </row>
    <row r="968" spans="1:1" ht="13.5" customHeight="1">
      <c r="A968" s="119"/>
    </row>
    <row r="969" spans="1:1" ht="13.5" customHeight="1">
      <c r="A969" s="119"/>
    </row>
    <row r="970" spans="1:1" ht="13.5" customHeight="1">
      <c r="A970" s="119"/>
    </row>
    <row r="971" spans="1:1" ht="13.5" customHeight="1">
      <c r="A971" s="119"/>
    </row>
    <row r="972" spans="1:1" ht="13.5" customHeight="1">
      <c r="A972" s="119"/>
    </row>
    <row r="973" spans="1:1" ht="13.5" customHeight="1">
      <c r="A973" s="119"/>
    </row>
    <row r="974" spans="1:1" ht="13.5" customHeight="1">
      <c r="A974" s="119"/>
    </row>
    <row r="975" spans="1:1" ht="13.5" customHeight="1">
      <c r="A975" s="119"/>
    </row>
    <row r="976" spans="1:1" ht="13.5" customHeight="1">
      <c r="A976" s="119"/>
    </row>
    <row r="977" spans="1:1" ht="13.5" customHeight="1">
      <c r="A977" s="119"/>
    </row>
    <row r="978" spans="1:1" ht="13.5" customHeight="1">
      <c r="A978" s="119"/>
    </row>
    <row r="979" spans="1:1" ht="13.5" customHeight="1">
      <c r="A979" s="119"/>
    </row>
    <row r="980" spans="1:1" ht="13.5" customHeight="1">
      <c r="A980" s="119"/>
    </row>
    <row r="981" spans="1:1" ht="13.5" customHeight="1">
      <c r="A981" s="119"/>
    </row>
    <row r="982" spans="1:1" ht="13.5" customHeight="1">
      <c r="A982" s="119"/>
    </row>
    <row r="983" spans="1:1" ht="13.5" customHeight="1">
      <c r="A983" s="119"/>
    </row>
    <row r="984" spans="1:1" ht="13.5" customHeight="1">
      <c r="A984" s="119"/>
    </row>
    <row r="985" spans="1:1" ht="13.5" customHeight="1">
      <c r="A985" s="119"/>
    </row>
    <row r="986" spans="1:1" ht="13.5" customHeight="1">
      <c r="A986" s="119"/>
    </row>
    <row r="987" spans="1:1" ht="13.5" customHeight="1">
      <c r="A987" s="119"/>
    </row>
    <row r="988" spans="1:1" ht="13.5" customHeight="1">
      <c r="A988" s="119"/>
    </row>
    <row r="989" spans="1:1" ht="13.5" customHeight="1">
      <c r="A989" s="119"/>
    </row>
    <row r="990" spans="1:1" ht="13.5" customHeight="1">
      <c r="A990" s="119"/>
    </row>
    <row r="991" spans="1:1" ht="13.5" customHeight="1">
      <c r="A991" s="119"/>
    </row>
    <row r="992" spans="1:1" ht="13.5" customHeight="1">
      <c r="A992" s="119"/>
    </row>
    <row r="993" spans="1:1" ht="13.5" customHeight="1">
      <c r="A993" s="119"/>
    </row>
    <row r="994" spans="1:1" ht="13.5" customHeight="1">
      <c r="A994" s="119"/>
    </row>
    <row r="995" spans="1:1" ht="13.5" customHeight="1">
      <c r="A995" s="119"/>
    </row>
    <row r="996" spans="1:1" ht="13.5" customHeight="1">
      <c r="A996" s="119"/>
    </row>
    <row r="997" spans="1:1" ht="13.5" customHeight="1">
      <c r="A997" s="119"/>
    </row>
    <row r="998" spans="1:1" ht="13.5" customHeight="1">
      <c r="A998" s="119"/>
    </row>
    <row r="999" spans="1:1" ht="13.5" customHeight="1">
      <c r="A999" s="119"/>
    </row>
    <row r="1000" spans="1:1" ht="13.5" customHeight="1">
      <c r="A1000" s="119"/>
    </row>
  </sheetData>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287" t="s">
        <v>174</v>
      </c>
      <c r="B1" s="167"/>
      <c r="C1" s="167"/>
      <c r="D1" s="167"/>
      <c r="E1" s="167"/>
      <c r="F1" s="167"/>
      <c r="G1" s="167"/>
      <c r="H1" s="167"/>
      <c r="I1" s="167"/>
      <c r="J1" s="168"/>
    </row>
    <row r="2" spans="1:11" ht="12.75" customHeight="1">
      <c r="A2" s="177" t="s">
        <v>175</v>
      </c>
      <c r="B2" s="171"/>
      <c r="C2" s="171"/>
      <c r="D2" s="171"/>
      <c r="E2" s="171"/>
      <c r="F2" s="171"/>
      <c r="G2" s="171"/>
      <c r="H2" s="171"/>
      <c r="I2" s="171"/>
      <c r="J2" s="172"/>
    </row>
    <row r="3" spans="1:11" ht="12.75" customHeight="1">
      <c r="A3" s="152"/>
      <c r="B3" s="150"/>
      <c r="C3" s="150"/>
      <c r="D3" s="150"/>
      <c r="E3" s="150"/>
      <c r="F3" s="150"/>
      <c r="G3" s="150"/>
      <c r="H3" s="150"/>
      <c r="I3" s="150"/>
      <c r="J3" s="151"/>
    </row>
    <row r="4" spans="1:11" ht="12.75" customHeight="1">
      <c r="A4" s="170"/>
      <c r="B4" s="157"/>
      <c r="C4" s="157"/>
      <c r="D4" s="157"/>
      <c r="E4" s="157"/>
      <c r="F4" s="157"/>
      <c r="G4" s="157"/>
      <c r="H4" s="157"/>
      <c r="I4" s="157"/>
      <c r="J4" s="158"/>
    </row>
    <row r="5" spans="1:11" ht="12.75" customHeight="1">
      <c r="A5" s="1"/>
      <c r="B5" s="2"/>
      <c r="C5" s="2"/>
      <c r="D5" s="2"/>
      <c r="E5" s="2"/>
      <c r="F5" s="2"/>
      <c r="G5" s="2"/>
      <c r="H5" s="2"/>
      <c r="I5" s="2"/>
      <c r="J5" s="3"/>
    </row>
    <row r="6" spans="1:11" ht="12.75" customHeight="1">
      <c r="A6" s="49"/>
      <c r="H6" s="288" t="s">
        <v>176</v>
      </c>
      <c r="I6" s="150"/>
      <c r="J6" s="151"/>
      <c r="K6" s="68"/>
    </row>
    <row r="7" spans="1:11" ht="12.75" customHeight="1">
      <c r="A7" s="289" t="s">
        <v>177</v>
      </c>
      <c r="B7" s="157"/>
      <c r="C7" s="157"/>
      <c r="D7" s="157"/>
      <c r="E7" s="157"/>
      <c r="F7" s="157"/>
      <c r="G7" s="157"/>
      <c r="H7" s="157"/>
      <c r="I7" s="157"/>
      <c r="J7" s="158"/>
    </row>
    <row r="8" spans="1:11" ht="12.75" customHeight="1">
      <c r="A8" s="286" t="s">
        <v>178</v>
      </c>
      <c r="B8" s="167"/>
      <c r="C8" s="167"/>
      <c r="D8" s="167"/>
      <c r="E8" s="167"/>
      <c r="F8" s="167"/>
      <c r="G8" s="168"/>
      <c r="H8" s="121"/>
      <c r="I8" s="122"/>
      <c r="J8" s="121"/>
    </row>
    <row r="9" spans="1:11" ht="12.75" customHeight="1">
      <c r="A9" s="200" t="s">
        <v>179</v>
      </c>
      <c r="B9" s="167"/>
      <c r="C9" s="167"/>
      <c r="D9" s="167"/>
      <c r="E9" s="167"/>
      <c r="F9" s="167"/>
      <c r="G9" s="168"/>
      <c r="H9" s="121"/>
      <c r="I9" s="123"/>
      <c r="J9" s="121"/>
    </row>
    <row r="10" spans="1:11" ht="12.75" customHeight="1">
      <c r="A10" s="286" t="s">
        <v>180</v>
      </c>
      <c r="B10" s="167"/>
      <c r="C10" s="167"/>
      <c r="D10" s="167"/>
      <c r="E10" s="167"/>
      <c r="F10" s="167"/>
      <c r="G10" s="168"/>
      <c r="H10" s="121"/>
      <c r="I10" s="122"/>
      <c r="J10" s="121"/>
    </row>
    <row r="11" spans="1:11" ht="12.75" customHeight="1">
      <c r="A11" s="200" t="s">
        <v>181</v>
      </c>
      <c r="B11" s="167"/>
      <c r="C11" s="167"/>
      <c r="D11" s="167"/>
      <c r="E11" s="167"/>
      <c r="F11" s="167"/>
      <c r="G11" s="168"/>
      <c r="H11" s="121"/>
      <c r="I11" s="123"/>
      <c r="J11" s="121"/>
    </row>
    <row r="12" spans="1:11" ht="12.75" customHeight="1">
      <c r="A12" s="286" t="s">
        <v>182</v>
      </c>
      <c r="B12" s="167"/>
      <c r="C12" s="167"/>
      <c r="D12" s="167"/>
      <c r="E12" s="167"/>
      <c r="F12" s="167"/>
      <c r="G12" s="168"/>
      <c r="H12" s="121"/>
      <c r="I12" s="122"/>
      <c r="J12" s="121"/>
    </row>
    <row r="13" spans="1:11" ht="12.75" customHeight="1">
      <c r="A13" s="200" t="s">
        <v>183</v>
      </c>
      <c r="B13" s="167"/>
      <c r="C13" s="167"/>
      <c r="D13" s="167"/>
      <c r="E13" s="167"/>
      <c r="F13" s="167"/>
      <c r="G13" s="168"/>
      <c r="H13" s="121"/>
      <c r="I13" s="123"/>
      <c r="J13" s="121"/>
    </row>
    <row r="14" spans="1:11" ht="12.75" customHeight="1">
      <c r="A14" s="286" t="s">
        <v>184</v>
      </c>
      <c r="B14" s="167"/>
      <c r="C14" s="167"/>
      <c r="D14" s="167"/>
      <c r="E14" s="167"/>
      <c r="F14" s="167"/>
      <c r="G14" s="168"/>
      <c r="H14" s="121"/>
      <c r="I14" s="122"/>
      <c r="J14" s="121"/>
    </row>
    <row r="15" spans="1:11" ht="12.75" customHeight="1">
      <c r="A15" s="200" t="s">
        <v>185</v>
      </c>
      <c r="B15" s="167"/>
      <c r="C15" s="167"/>
      <c r="D15" s="167"/>
      <c r="E15" s="167"/>
      <c r="F15" s="167"/>
      <c r="G15" s="168"/>
      <c r="H15" s="121"/>
      <c r="I15" s="123"/>
      <c r="J15" s="121"/>
    </row>
    <row r="16" spans="1:11" ht="12.75" customHeight="1">
      <c r="A16" s="286" t="s">
        <v>186</v>
      </c>
      <c r="B16" s="167"/>
      <c r="C16" s="167"/>
      <c r="D16" s="167"/>
      <c r="E16" s="167"/>
      <c r="F16" s="167"/>
      <c r="G16" s="168"/>
      <c r="H16" s="121"/>
      <c r="I16" s="122"/>
      <c r="J16" s="121"/>
    </row>
    <row r="17" spans="1:10" ht="12.75" customHeight="1">
      <c r="A17" s="200" t="s">
        <v>187</v>
      </c>
      <c r="B17" s="167"/>
      <c r="C17" s="167"/>
      <c r="D17" s="167"/>
      <c r="E17" s="167"/>
      <c r="F17" s="167"/>
      <c r="G17" s="168"/>
      <c r="H17" s="121"/>
      <c r="I17" s="123"/>
      <c r="J17" s="121"/>
    </row>
    <row r="18" spans="1:10" ht="12.75" customHeight="1">
      <c r="A18" s="286" t="s">
        <v>188</v>
      </c>
      <c r="B18" s="167"/>
      <c r="C18" s="167"/>
      <c r="D18" s="167"/>
      <c r="E18" s="167"/>
      <c r="F18" s="167"/>
      <c r="G18" s="168"/>
      <c r="H18" s="121"/>
      <c r="I18" s="122"/>
      <c r="J18" s="121"/>
    </row>
    <row r="19" spans="1:10" ht="12.75" customHeight="1">
      <c r="A19" s="200" t="s">
        <v>189</v>
      </c>
      <c r="B19" s="168"/>
      <c r="C19" s="200"/>
      <c r="D19" s="167"/>
      <c r="E19" s="167"/>
      <c r="F19" s="167"/>
      <c r="G19" s="168"/>
      <c r="H19" s="121"/>
      <c r="I19" s="123"/>
      <c r="J19" s="121"/>
    </row>
    <row r="20" spans="1:10" ht="12.75" customHeight="1">
      <c r="A20" s="286" t="s">
        <v>189</v>
      </c>
      <c r="B20" s="168"/>
      <c r="C20" s="286"/>
      <c r="D20" s="167"/>
      <c r="E20" s="167"/>
      <c r="F20" s="167"/>
      <c r="G20" s="168"/>
      <c r="H20" s="121"/>
      <c r="I20" s="122"/>
      <c r="J20" s="121"/>
    </row>
    <row r="21" spans="1:10" ht="12.75" customHeight="1">
      <c r="A21" s="200" t="s">
        <v>189</v>
      </c>
      <c r="B21" s="168"/>
      <c r="C21" s="200"/>
      <c r="D21" s="167"/>
      <c r="E21" s="167"/>
      <c r="F21" s="167"/>
      <c r="G21" s="168"/>
      <c r="H21" s="121"/>
      <c r="I21" s="123"/>
      <c r="J21" s="121"/>
    </row>
    <row r="22" spans="1:10" ht="12.75" customHeight="1">
      <c r="A22" s="286" t="s">
        <v>189</v>
      </c>
      <c r="B22" s="168"/>
      <c r="C22" s="286"/>
      <c r="D22" s="167"/>
      <c r="E22" s="167"/>
      <c r="F22" s="167"/>
      <c r="G22" s="168"/>
      <c r="H22" s="121"/>
      <c r="I22" s="122"/>
      <c r="J22" s="121"/>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85" t="s">
        <v>190</v>
      </c>
      <c r="B56" s="150"/>
      <c r="C56" s="150"/>
      <c r="D56" s="150"/>
      <c r="E56" s="163" t="str">
        <f>County</f>
        <v>Yolo</v>
      </c>
      <c r="F56" s="150"/>
      <c r="G56" s="150"/>
      <c r="H56" s="150"/>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287" t="s">
        <v>191</v>
      </c>
      <c r="B1" s="167"/>
      <c r="C1" s="167"/>
      <c r="D1" s="167"/>
      <c r="E1" s="167"/>
      <c r="F1" s="167"/>
      <c r="G1" s="167"/>
      <c r="H1" s="167"/>
      <c r="I1" s="167"/>
      <c r="J1" s="168"/>
    </row>
    <row r="2" spans="1:10" ht="12.75" customHeight="1">
      <c r="A2" s="290" t="s">
        <v>192</v>
      </c>
      <c r="B2" s="171"/>
      <c r="C2" s="171"/>
      <c r="D2" s="171"/>
      <c r="E2" s="171"/>
      <c r="F2" s="171"/>
      <c r="G2" s="171"/>
      <c r="H2" s="171"/>
      <c r="I2" s="171"/>
      <c r="J2" s="172"/>
    </row>
    <row r="3" spans="1:10" ht="12.75" customHeight="1">
      <c r="A3" s="291" t="s">
        <v>193</v>
      </c>
      <c r="B3" s="150"/>
      <c r="C3" s="150"/>
      <c r="D3" s="150"/>
      <c r="E3" s="150"/>
      <c r="F3" s="150"/>
      <c r="G3" s="150"/>
      <c r="H3" s="150"/>
      <c r="I3" s="150"/>
      <c r="J3" s="151"/>
    </row>
    <row r="4" spans="1:10" ht="12.75" customHeight="1">
      <c r="A4" s="291" t="s">
        <v>194</v>
      </c>
      <c r="B4" s="150"/>
      <c r="C4" s="150"/>
      <c r="D4" s="150"/>
      <c r="E4" s="150"/>
      <c r="F4" s="150"/>
      <c r="G4" s="150"/>
      <c r="H4" s="150"/>
      <c r="I4" s="150"/>
      <c r="J4" s="151"/>
    </row>
    <row r="5" spans="1:10" ht="12.75" customHeight="1">
      <c r="A5" s="291" t="s">
        <v>195</v>
      </c>
      <c r="B5" s="150"/>
      <c r="C5" s="150"/>
      <c r="D5" s="150"/>
      <c r="E5" s="150"/>
      <c r="F5" s="150"/>
      <c r="G5" s="150"/>
      <c r="H5" s="150"/>
      <c r="I5" s="150"/>
      <c r="J5" s="151"/>
    </row>
    <row r="6" spans="1:10" ht="12.75" customHeight="1">
      <c r="A6" s="292" t="s">
        <v>196</v>
      </c>
      <c r="B6" s="157"/>
      <c r="C6" s="157"/>
      <c r="D6" s="157"/>
      <c r="E6" s="157"/>
      <c r="F6" s="157"/>
      <c r="G6" s="157"/>
      <c r="H6" s="157"/>
      <c r="I6" s="157"/>
      <c r="J6" s="158"/>
    </row>
    <row r="7" spans="1:10" ht="12.75" customHeight="1">
      <c r="A7" s="124" t="s">
        <v>197</v>
      </c>
      <c r="B7" s="125"/>
      <c r="C7" s="125"/>
      <c r="D7" s="125"/>
      <c r="E7" s="125"/>
      <c r="F7" s="125"/>
      <c r="G7" s="125"/>
      <c r="H7" s="126"/>
      <c r="I7" s="125"/>
      <c r="J7" s="127"/>
    </row>
    <row r="8" spans="1:10" ht="12.75" customHeight="1">
      <c r="A8" s="293" t="s">
        <v>198</v>
      </c>
      <c r="B8" s="161"/>
      <c r="C8" s="161"/>
      <c r="D8" s="161"/>
      <c r="E8" s="161"/>
      <c r="F8" s="161"/>
      <c r="G8" s="161"/>
      <c r="H8" s="161"/>
      <c r="I8" s="161"/>
      <c r="J8" s="162"/>
    </row>
    <row r="9" spans="1:10" ht="12.75" customHeight="1">
      <c r="A9" s="294" t="s">
        <v>199</v>
      </c>
      <c r="B9" s="260"/>
      <c r="C9" s="260"/>
      <c r="D9" s="260"/>
      <c r="E9" s="260"/>
      <c r="F9" s="260"/>
      <c r="G9" s="260"/>
      <c r="H9" s="260"/>
      <c r="I9" s="260"/>
      <c r="J9" s="261"/>
    </row>
    <row r="10" spans="1:10" ht="12.75" customHeight="1">
      <c r="A10" s="177"/>
      <c r="B10" s="171"/>
      <c r="C10" s="171"/>
      <c r="D10" s="171"/>
      <c r="E10" s="171"/>
      <c r="F10" s="171"/>
      <c r="G10" s="171"/>
      <c r="H10" s="171"/>
      <c r="I10" s="171"/>
      <c r="J10" s="172"/>
    </row>
    <row r="11" spans="1:10" ht="12.75" customHeight="1">
      <c r="A11" s="152"/>
      <c r="B11" s="150"/>
      <c r="C11" s="150"/>
      <c r="D11" s="150"/>
      <c r="E11" s="150"/>
      <c r="F11" s="150"/>
      <c r="G11" s="150"/>
      <c r="H11" s="150"/>
      <c r="I11" s="150"/>
      <c r="J11" s="151"/>
    </row>
    <row r="12" spans="1:10" ht="12.75" customHeight="1">
      <c r="A12" s="152"/>
      <c r="B12" s="150"/>
      <c r="C12" s="150"/>
      <c r="D12" s="150"/>
      <c r="E12" s="150"/>
      <c r="F12" s="150"/>
      <c r="G12" s="150"/>
      <c r="H12" s="150"/>
      <c r="I12" s="150"/>
      <c r="J12" s="151"/>
    </row>
    <row r="13" spans="1:10" ht="12.75" customHeight="1">
      <c r="A13" s="152"/>
      <c r="B13" s="150"/>
      <c r="C13" s="150"/>
      <c r="D13" s="150"/>
      <c r="E13" s="150"/>
      <c r="F13" s="150"/>
      <c r="G13" s="150"/>
      <c r="H13" s="150"/>
      <c r="I13" s="150"/>
      <c r="J13" s="151"/>
    </row>
    <row r="14" spans="1:10" ht="12.75" customHeight="1">
      <c r="A14" s="152"/>
      <c r="B14" s="150"/>
      <c r="C14" s="150"/>
      <c r="D14" s="150"/>
      <c r="E14" s="150"/>
      <c r="F14" s="150"/>
      <c r="G14" s="150"/>
      <c r="H14" s="150"/>
      <c r="I14" s="150"/>
      <c r="J14" s="151"/>
    </row>
    <row r="15" spans="1:10" ht="12.75" customHeight="1">
      <c r="A15" s="152"/>
      <c r="B15" s="150"/>
      <c r="C15" s="150"/>
      <c r="D15" s="150"/>
      <c r="E15" s="150"/>
      <c r="F15" s="150"/>
      <c r="G15" s="150"/>
      <c r="H15" s="150"/>
      <c r="I15" s="150"/>
      <c r="J15" s="151"/>
    </row>
    <row r="16" spans="1:10" ht="12.75" customHeight="1">
      <c r="A16" s="152"/>
      <c r="B16" s="150"/>
      <c r="C16" s="150"/>
      <c r="D16" s="150"/>
      <c r="E16" s="150"/>
      <c r="F16" s="150"/>
      <c r="G16" s="150"/>
      <c r="H16" s="150"/>
      <c r="I16" s="150"/>
      <c r="J16" s="151"/>
    </row>
    <row r="17" spans="1:10" ht="12.75" customHeight="1">
      <c r="A17" s="152"/>
      <c r="B17" s="150"/>
      <c r="C17" s="150"/>
      <c r="D17" s="150"/>
      <c r="E17" s="150"/>
      <c r="F17" s="150"/>
      <c r="G17" s="150"/>
      <c r="H17" s="150"/>
      <c r="I17" s="150"/>
      <c r="J17" s="151"/>
    </row>
    <row r="18" spans="1:10" ht="12.75" customHeight="1">
      <c r="A18" s="152"/>
      <c r="B18" s="150"/>
      <c r="C18" s="150"/>
      <c r="D18" s="150"/>
      <c r="E18" s="150"/>
      <c r="F18" s="150"/>
      <c r="G18" s="150"/>
      <c r="H18" s="150"/>
      <c r="I18" s="150"/>
      <c r="J18" s="151"/>
    </row>
    <row r="19" spans="1:10" ht="12.75" customHeight="1">
      <c r="A19" s="152"/>
      <c r="B19" s="150"/>
      <c r="C19" s="150"/>
      <c r="D19" s="150"/>
      <c r="E19" s="150"/>
      <c r="F19" s="150"/>
      <c r="G19" s="150"/>
      <c r="H19" s="150"/>
      <c r="I19" s="150"/>
      <c r="J19" s="151"/>
    </row>
    <row r="20" spans="1:10" ht="12.75" customHeight="1">
      <c r="A20" s="152"/>
      <c r="B20" s="150"/>
      <c r="C20" s="150"/>
      <c r="D20" s="150"/>
      <c r="E20" s="150"/>
      <c r="F20" s="150"/>
      <c r="G20" s="150"/>
      <c r="H20" s="150"/>
      <c r="I20" s="150"/>
      <c r="J20" s="151"/>
    </row>
    <row r="21" spans="1:10" ht="12.75" customHeight="1">
      <c r="A21" s="152"/>
      <c r="B21" s="150"/>
      <c r="C21" s="150"/>
      <c r="D21" s="150"/>
      <c r="E21" s="150"/>
      <c r="F21" s="150"/>
      <c r="G21" s="150"/>
      <c r="H21" s="150"/>
      <c r="I21" s="150"/>
      <c r="J21" s="151"/>
    </row>
    <row r="22" spans="1:10" ht="12.75" customHeight="1">
      <c r="A22" s="152"/>
      <c r="B22" s="150"/>
      <c r="C22" s="150"/>
      <c r="D22" s="150"/>
      <c r="E22" s="150"/>
      <c r="F22" s="150"/>
      <c r="G22" s="150"/>
      <c r="H22" s="150"/>
      <c r="I22" s="150"/>
      <c r="J22" s="151"/>
    </row>
    <row r="23" spans="1:10" ht="12.75" customHeight="1">
      <c r="A23" s="152"/>
      <c r="B23" s="150"/>
      <c r="C23" s="150"/>
      <c r="D23" s="150"/>
      <c r="E23" s="150"/>
      <c r="F23" s="150"/>
      <c r="G23" s="150"/>
      <c r="H23" s="150"/>
      <c r="I23" s="150"/>
      <c r="J23" s="151"/>
    </row>
    <row r="24" spans="1:10" ht="12.75" customHeight="1">
      <c r="A24" s="152"/>
      <c r="B24" s="150"/>
      <c r="C24" s="150"/>
      <c r="D24" s="150"/>
      <c r="E24" s="150"/>
      <c r="F24" s="150"/>
      <c r="G24" s="150"/>
      <c r="H24" s="150"/>
      <c r="I24" s="150"/>
      <c r="J24" s="151"/>
    </row>
    <row r="25" spans="1:10" ht="12.75" customHeight="1">
      <c r="A25" s="170"/>
      <c r="B25" s="157"/>
      <c r="C25" s="157"/>
      <c r="D25" s="157"/>
      <c r="E25" s="157"/>
      <c r="F25" s="157"/>
      <c r="G25" s="157"/>
      <c r="H25" s="157"/>
      <c r="I25" s="157"/>
      <c r="J25" s="158"/>
    </row>
    <row r="26" spans="1:10" ht="12.75" customHeight="1">
      <c r="A26" s="128" t="s">
        <v>200</v>
      </c>
      <c r="B26" s="129"/>
      <c r="C26" s="129"/>
      <c r="D26" s="129"/>
      <c r="E26" s="129"/>
      <c r="F26" s="129"/>
      <c r="G26" s="129"/>
      <c r="H26" s="129"/>
      <c r="I26" s="129"/>
      <c r="J26" s="130"/>
    </row>
    <row r="27" spans="1:10" ht="12.75" customHeight="1">
      <c r="A27" s="177"/>
      <c r="B27" s="171"/>
      <c r="C27" s="171"/>
      <c r="D27" s="171"/>
      <c r="E27" s="171"/>
      <c r="F27" s="171"/>
      <c r="G27" s="171"/>
      <c r="H27" s="171"/>
      <c r="I27" s="171"/>
      <c r="J27" s="172"/>
    </row>
    <row r="28" spans="1:10" ht="12.75" customHeight="1">
      <c r="A28" s="152"/>
      <c r="B28" s="150"/>
      <c r="C28" s="150"/>
      <c r="D28" s="150"/>
      <c r="E28" s="150"/>
      <c r="F28" s="150"/>
      <c r="G28" s="150"/>
      <c r="H28" s="150"/>
      <c r="I28" s="150"/>
      <c r="J28" s="151"/>
    </row>
    <row r="29" spans="1:10" ht="12.75" customHeight="1">
      <c r="A29" s="152"/>
      <c r="B29" s="150"/>
      <c r="C29" s="150"/>
      <c r="D29" s="150"/>
      <c r="E29" s="150"/>
      <c r="F29" s="150"/>
      <c r="G29" s="150"/>
      <c r="H29" s="150"/>
      <c r="I29" s="150"/>
      <c r="J29" s="151"/>
    </row>
    <row r="30" spans="1:10" ht="12.75" customHeight="1">
      <c r="A30" s="152"/>
      <c r="B30" s="150"/>
      <c r="C30" s="150"/>
      <c r="D30" s="150"/>
      <c r="E30" s="150"/>
      <c r="F30" s="150"/>
      <c r="G30" s="150"/>
      <c r="H30" s="150"/>
      <c r="I30" s="150"/>
      <c r="J30" s="151"/>
    </row>
    <row r="31" spans="1:10" ht="12.75" customHeight="1">
      <c r="A31" s="152"/>
      <c r="B31" s="150"/>
      <c r="C31" s="150"/>
      <c r="D31" s="150"/>
      <c r="E31" s="150"/>
      <c r="F31" s="150"/>
      <c r="G31" s="150"/>
      <c r="H31" s="150"/>
      <c r="I31" s="150"/>
      <c r="J31" s="151"/>
    </row>
    <row r="32" spans="1:10" ht="12.75" customHeight="1">
      <c r="A32" s="152"/>
      <c r="B32" s="150"/>
      <c r="C32" s="150"/>
      <c r="D32" s="150"/>
      <c r="E32" s="150"/>
      <c r="F32" s="150"/>
      <c r="G32" s="150"/>
      <c r="H32" s="150"/>
      <c r="I32" s="150"/>
      <c r="J32" s="151"/>
    </row>
    <row r="33" spans="1:10" ht="12.75" customHeight="1">
      <c r="A33" s="152"/>
      <c r="B33" s="150"/>
      <c r="C33" s="150"/>
      <c r="D33" s="150"/>
      <c r="E33" s="150"/>
      <c r="F33" s="150"/>
      <c r="G33" s="150"/>
      <c r="H33" s="150"/>
      <c r="I33" s="150"/>
      <c r="J33" s="151"/>
    </row>
    <row r="34" spans="1:10" ht="12.75" customHeight="1">
      <c r="A34" s="152"/>
      <c r="B34" s="150"/>
      <c r="C34" s="150"/>
      <c r="D34" s="150"/>
      <c r="E34" s="150"/>
      <c r="F34" s="150"/>
      <c r="G34" s="150"/>
      <c r="H34" s="150"/>
      <c r="I34" s="150"/>
      <c r="J34" s="151"/>
    </row>
    <row r="35" spans="1:10" ht="12.75" customHeight="1">
      <c r="A35" s="152"/>
      <c r="B35" s="150"/>
      <c r="C35" s="150"/>
      <c r="D35" s="150"/>
      <c r="E35" s="150"/>
      <c r="F35" s="150"/>
      <c r="G35" s="150"/>
      <c r="H35" s="150"/>
      <c r="I35" s="150"/>
      <c r="J35" s="151"/>
    </row>
    <row r="36" spans="1:10" ht="12.75" customHeight="1">
      <c r="A36" s="152"/>
      <c r="B36" s="150"/>
      <c r="C36" s="150"/>
      <c r="D36" s="150"/>
      <c r="E36" s="150"/>
      <c r="F36" s="150"/>
      <c r="G36" s="150"/>
      <c r="H36" s="150"/>
      <c r="I36" s="150"/>
      <c r="J36" s="151"/>
    </row>
    <row r="37" spans="1:10" ht="12.75" customHeight="1">
      <c r="A37" s="152"/>
      <c r="B37" s="150"/>
      <c r="C37" s="150"/>
      <c r="D37" s="150"/>
      <c r="E37" s="150"/>
      <c r="F37" s="150"/>
      <c r="G37" s="150"/>
      <c r="H37" s="150"/>
      <c r="I37" s="150"/>
      <c r="J37" s="151"/>
    </row>
    <row r="38" spans="1:10" ht="12.75" customHeight="1">
      <c r="A38" s="170"/>
      <c r="B38" s="157"/>
      <c r="C38" s="157"/>
      <c r="D38" s="157"/>
      <c r="E38" s="157"/>
      <c r="F38" s="157"/>
      <c r="G38" s="157"/>
      <c r="H38" s="157"/>
      <c r="I38" s="157"/>
      <c r="J38" s="158"/>
    </row>
    <row r="39" spans="1:10" ht="12.75" customHeight="1">
      <c r="A39" s="295" t="s">
        <v>201</v>
      </c>
      <c r="B39" s="145"/>
      <c r="C39" s="145"/>
      <c r="D39" s="145"/>
      <c r="E39" s="145"/>
      <c r="F39" s="145"/>
      <c r="G39" s="145"/>
      <c r="H39" s="145"/>
      <c r="I39" s="145"/>
      <c r="J39" s="146"/>
    </row>
    <row r="40" spans="1:10" ht="12.75" customHeight="1">
      <c r="A40" s="294" t="s">
        <v>202</v>
      </c>
      <c r="B40" s="260"/>
      <c r="C40" s="260"/>
      <c r="D40" s="260"/>
      <c r="E40" s="260"/>
      <c r="F40" s="260"/>
      <c r="G40" s="260"/>
      <c r="H40" s="260"/>
      <c r="I40" s="260"/>
      <c r="J40" s="261"/>
    </row>
    <row r="41" spans="1:10" ht="12.75" customHeight="1">
      <c r="A41" s="177"/>
      <c r="B41" s="171"/>
      <c r="C41" s="171"/>
      <c r="D41" s="171"/>
      <c r="E41" s="171"/>
      <c r="F41" s="171"/>
      <c r="G41" s="171"/>
      <c r="H41" s="171"/>
      <c r="I41" s="171"/>
      <c r="J41" s="172"/>
    </row>
    <row r="42" spans="1:10" ht="12.75" customHeight="1">
      <c r="A42" s="152"/>
      <c r="B42" s="150"/>
      <c r="C42" s="150"/>
      <c r="D42" s="150"/>
      <c r="E42" s="150"/>
      <c r="F42" s="150"/>
      <c r="G42" s="150"/>
      <c r="H42" s="150"/>
      <c r="I42" s="150"/>
      <c r="J42" s="151"/>
    </row>
    <row r="43" spans="1:10" ht="12.75" customHeight="1">
      <c r="A43" s="152"/>
      <c r="B43" s="150"/>
      <c r="C43" s="150"/>
      <c r="D43" s="150"/>
      <c r="E43" s="150"/>
      <c r="F43" s="150"/>
      <c r="G43" s="150"/>
      <c r="H43" s="150"/>
      <c r="I43" s="150"/>
      <c r="J43" s="151"/>
    </row>
    <row r="44" spans="1:10" ht="12.75" customHeight="1">
      <c r="A44" s="152"/>
      <c r="B44" s="150"/>
      <c r="C44" s="150"/>
      <c r="D44" s="150"/>
      <c r="E44" s="150"/>
      <c r="F44" s="150"/>
      <c r="G44" s="150"/>
      <c r="H44" s="150"/>
      <c r="I44" s="150"/>
      <c r="J44" s="151"/>
    </row>
    <row r="45" spans="1:10" ht="12.75" customHeight="1">
      <c r="A45" s="152"/>
      <c r="B45" s="150"/>
      <c r="C45" s="150"/>
      <c r="D45" s="150"/>
      <c r="E45" s="150"/>
      <c r="F45" s="150"/>
      <c r="G45" s="150"/>
      <c r="H45" s="150"/>
      <c r="I45" s="150"/>
      <c r="J45" s="151"/>
    </row>
    <row r="46" spans="1:10" ht="12.75" customHeight="1">
      <c r="A46" s="152"/>
      <c r="B46" s="150"/>
      <c r="C46" s="150"/>
      <c r="D46" s="150"/>
      <c r="E46" s="150"/>
      <c r="F46" s="150"/>
      <c r="G46" s="150"/>
      <c r="H46" s="150"/>
      <c r="I46" s="150"/>
      <c r="J46" s="151"/>
    </row>
    <row r="47" spans="1:10" ht="12.75" customHeight="1">
      <c r="A47" s="152"/>
      <c r="B47" s="150"/>
      <c r="C47" s="150"/>
      <c r="D47" s="150"/>
      <c r="E47" s="150"/>
      <c r="F47" s="150"/>
      <c r="G47" s="150"/>
      <c r="H47" s="150"/>
      <c r="I47" s="150"/>
      <c r="J47" s="151"/>
    </row>
    <row r="48" spans="1:10" ht="12.75" customHeight="1">
      <c r="A48" s="152"/>
      <c r="B48" s="150"/>
      <c r="C48" s="150"/>
      <c r="D48" s="150"/>
      <c r="E48" s="150"/>
      <c r="F48" s="150"/>
      <c r="G48" s="150"/>
      <c r="H48" s="150"/>
      <c r="I48" s="150"/>
      <c r="J48" s="151"/>
    </row>
    <row r="49" spans="1:10" ht="12.75" customHeight="1">
      <c r="A49" s="152"/>
      <c r="B49" s="150"/>
      <c r="C49" s="150"/>
      <c r="D49" s="150"/>
      <c r="E49" s="150"/>
      <c r="F49" s="150"/>
      <c r="G49" s="150"/>
      <c r="H49" s="150"/>
      <c r="I49" s="150"/>
      <c r="J49" s="151"/>
    </row>
    <row r="50" spans="1:10" ht="12.75" customHeight="1">
      <c r="A50" s="152"/>
      <c r="B50" s="150"/>
      <c r="C50" s="150"/>
      <c r="D50" s="150"/>
      <c r="E50" s="150"/>
      <c r="F50" s="150"/>
      <c r="G50" s="150"/>
      <c r="H50" s="150"/>
      <c r="I50" s="150"/>
      <c r="J50" s="151"/>
    </row>
    <row r="51" spans="1:10" ht="12.75" customHeight="1">
      <c r="A51" s="152"/>
      <c r="B51" s="150"/>
      <c r="C51" s="150"/>
      <c r="D51" s="150"/>
      <c r="E51" s="150"/>
      <c r="F51" s="150"/>
      <c r="G51" s="150"/>
      <c r="H51" s="150"/>
      <c r="I51" s="150"/>
      <c r="J51" s="151"/>
    </row>
    <row r="52" spans="1:10" ht="12.75" customHeight="1">
      <c r="A52" s="170"/>
      <c r="B52" s="157"/>
      <c r="C52" s="157"/>
      <c r="D52" s="157"/>
      <c r="E52" s="157"/>
      <c r="F52" s="157"/>
      <c r="G52" s="157"/>
      <c r="H52" s="157"/>
      <c r="I52" s="157"/>
      <c r="J52" s="158"/>
    </row>
    <row r="53" spans="1:10" ht="12.75" customHeight="1">
      <c r="A53" s="285" t="s">
        <v>190</v>
      </c>
      <c r="B53" s="150"/>
      <c r="C53" s="150"/>
      <c r="D53" s="150"/>
      <c r="E53" s="163" t="str">
        <f>County</f>
        <v>Yolo</v>
      </c>
      <c r="F53" s="150"/>
      <c r="G53" s="150"/>
      <c r="H53" s="150"/>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287" t="s">
        <v>203</v>
      </c>
      <c r="B1" s="167"/>
      <c r="C1" s="167"/>
      <c r="D1" s="167"/>
      <c r="E1" s="167"/>
      <c r="F1" s="167"/>
      <c r="G1" s="167"/>
      <c r="H1" s="167"/>
      <c r="I1" s="167"/>
      <c r="J1" s="168"/>
    </row>
    <row r="2" spans="1:10" ht="12.75" customHeight="1">
      <c r="A2" s="290" t="s">
        <v>204</v>
      </c>
      <c r="B2" s="171"/>
      <c r="C2" s="171"/>
      <c r="D2" s="171"/>
      <c r="E2" s="171"/>
      <c r="F2" s="171"/>
      <c r="G2" s="171"/>
      <c r="H2" s="171"/>
      <c r="I2" s="171"/>
      <c r="J2" s="172"/>
    </row>
    <row r="3" spans="1:10" ht="12.75" customHeight="1">
      <c r="A3" s="291" t="s">
        <v>205</v>
      </c>
      <c r="B3" s="150"/>
      <c r="C3" s="150"/>
      <c r="D3" s="150"/>
      <c r="E3" s="150"/>
      <c r="F3" s="150"/>
      <c r="G3" s="150"/>
      <c r="H3" s="150"/>
      <c r="I3" s="150"/>
      <c r="J3" s="151"/>
    </row>
    <row r="4" spans="1:10" ht="12.75" customHeight="1">
      <c r="A4" s="291" t="s">
        <v>206</v>
      </c>
      <c r="B4" s="150"/>
      <c r="C4" s="150"/>
      <c r="D4" s="150"/>
      <c r="E4" s="150"/>
      <c r="F4" s="150"/>
      <c r="G4" s="150"/>
      <c r="H4" s="150"/>
      <c r="I4" s="150"/>
      <c r="J4" s="151"/>
    </row>
    <row r="5" spans="1:10" ht="12.75" customHeight="1">
      <c r="A5" s="291" t="s">
        <v>207</v>
      </c>
      <c r="B5" s="150"/>
      <c r="C5" s="150"/>
      <c r="D5" s="150"/>
      <c r="E5" s="150"/>
      <c r="F5" s="150"/>
      <c r="G5" s="150"/>
      <c r="H5" s="150"/>
      <c r="I5" s="150"/>
      <c r="J5" s="151"/>
    </row>
    <row r="6" spans="1:10" ht="12.75" customHeight="1">
      <c r="A6" s="124" t="s">
        <v>208</v>
      </c>
      <c r="B6" s="131"/>
      <c r="C6" s="131"/>
      <c r="D6" s="131"/>
      <c r="E6" s="131"/>
      <c r="F6" s="131"/>
      <c r="G6" s="131"/>
      <c r="H6" s="131"/>
      <c r="I6" s="132"/>
      <c r="J6" s="127"/>
    </row>
    <row r="7" spans="1:10" ht="12.75" customHeight="1">
      <c r="A7" s="133" t="s">
        <v>209</v>
      </c>
      <c r="B7" s="134"/>
      <c r="C7" s="134"/>
      <c r="D7" s="134"/>
      <c r="E7" s="134"/>
      <c r="F7" s="134"/>
      <c r="G7" s="134"/>
      <c r="H7" s="134"/>
      <c r="I7" s="135"/>
      <c r="J7" s="136"/>
    </row>
    <row r="8" spans="1:10" ht="12.75" customHeight="1">
      <c r="A8" s="294" t="s">
        <v>210</v>
      </c>
      <c r="B8" s="260"/>
      <c r="C8" s="260"/>
      <c r="D8" s="260"/>
      <c r="E8" s="260"/>
      <c r="F8" s="260"/>
      <c r="G8" s="260"/>
      <c r="H8" s="260"/>
      <c r="I8" s="260"/>
      <c r="J8" s="261"/>
    </row>
    <row r="9" spans="1:10" ht="12.75" customHeight="1">
      <c r="A9" s="177"/>
      <c r="B9" s="171"/>
      <c r="C9" s="171"/>
      <c r="D9" s="171"/>
      <c r="E9" s="171"/>
      <c r="F9" s="171"/>
      <c r="G9" s="171"/>
      <c r="H9" s="171"/>
      <c r="I9" s="171"/>
      <c r="J9" s="172"/>
    </row>
    <row r="10" spans="1:10" ht="12.75" customHeight="1">
      <c r="A10" s="152"/>
      <c r="B10" s="150"/>
      <c r="C10" s="150"/>
      <c r="D10" s="150"/>
      <c r="E10" s="150"/>
      <c r="F10" s="150"/>
      <c r="G10" s="150"/>
      <c r="H10" s="150"/>
      <c r="I10" s="150"/>
      <c r="J10" s="151"/>
    </row>
    <row r="11" spans="1:10" ht="12.75" customHeight="1">
      <c r="A11" s="152"/>
      <c r="B11" s="150"/>
      <c r="C11" s="150"/>
      <c r="D11" s="150"/>
      <c r="E11" s="150"/>
      <c r="F11" s="150"/>
      <c r="G11" s="150"/>
      <c r="H11" s="150"/>
      <c r="I11" s="150"/>
      <c r="J11" s="151"/>
    </row>
    <row r="12" spans="1:10" ht="12.75" customHeight="1">
      <c r="A12" s="152"/>
      <c r="B12" s="150"/>
      <c r="C12" s="150"/>
      <c r="D12" s="150"/>
      <c r="E12" s="150"/>
      <c r="F12" s="150"/>
      <c r="G12" s="150"/>
      <c r="H12" s="150"/>
      <c r="I12" s="150"/>
      <c r="J12" s="151"/>
    </row>
    <row r="13" spans="1:10" ht="12.75" customHeight="1">
      <c r="A13" s="152"/>
      <c r="B13" s="150"/>
      <c r="C13" s="150"/>
      <c r="D13" s="150"/>
      <c r="E13" s="150"/>
      <c r="F13" s="150"/>
      <c r="G13" s="150"/>
      <c r="H13" s="150"/>
      <c r="I13" s="150"/>
      <c r="J13" s="151"/>
    </row>
    <row r="14" spans="1:10" ht="12.75" customHeight="1">
      <c r="A14" s="152"/>
      <c r="B14" s="150"/>
      <c r="C14" s="150"/>
      <c r="D14" s="150"/>
      <c r="E14" s="150"/>
      <c r="F14" s="150"/>
      <c r="G14" s="150"/>
      <c r="H14" s="150"/>
      <c r="I14" s="150"/>
      <c r="J14" s="151"/>
    </row>
    <row r="15" spans="1:10" ht="12.75" customHeight="1">
      <c r="A15" s="152"/>
      <c r="B15" s="150"/>
      <c r="C15" s="150"/>
      <c r="D15" s="150"/>
      <c r="E15" s="150"/>
      <c r="F15" s="150"/>
      <c r="G15" s="150"/>
      <c r="H15" s="150"/>
      <c r="I15" s="150"/>
      <c r="J15" s="151"/>
    </row>
    <row r="16" spans="1:10" ht="12.75" customHeight="1">
      <c r="A16" s="152"/>
      <c r="B16" s="150"/>
      <c r="C16" s="150"/>
      <c r="D16" s="150"/>
      <c r="E16" s="150"/>
      <c r="F16" s="150"/>
      <c r="G16" s="150"/>
      <c r="H16" s="150"/>
      <c r="I16" s="150"/>
      <c r="J16" s="151"/>
    </row>
    <row r="17" spans="1:10" ht="12.75" customHeight="1">
      <c r="A17" s="152"/>
      <c r="B17" s="150"/>
      <c r="C17" s="150"/>
      <c r="D17" s="150"/>
      <c r="E17" s="150"/>
      <c r="F17" s="150"/>
      <c r="G17" s="150"/>
      <c r="H17" s="150"/>
      <c r="I17" s="150"/>
      <c r="J17" s="151"/>
    </row>
    <row r="18" spans="1:10" ht="12.75" customHeight="1">
      <c r="A18" s="152"/>
      <c r="B18" s="150"/>
      <c r="C18" s="150"/>
      <c r="D18" s="150"/>
      <c r="E18" s="150"/>
      <c r="F18" s="150"/>
      <c r="G18" s="150"/>
      <c r="H18" s="150"/>
      <c r="I18" s="150"/>
      <c r="J18" s="151"/>
    </row>
    <row r="19" spans="1:10" ht="12.75" customHeight="1">
      <c r="A19" s="152"/>
      <c r="B19" s="150"/>
      <c r="C19" s="150"/>
      <c r="D19" s="150"/>
      <c r="E19" s="150"/>
      <c r="F19" s="150"/>
      <c r="G19" s="150"/>
      <c r="H19" s="150"/>
      <c r="I19" s="150"/>
      <c r="J19" s="151"/>
    </row>
    <row r="20" spans="1:10" ht="12.75" customHeight="1">
      <c r="A20" s="152"/>
      <c r="B20" s="150"/>
      <c r="C20" s="150"/>
      <c r="D20" s="150"/>
      <c r="E20" s="150"/>
      <c r="F20" s="150"/>
      <c r="G20" s="150"/>
      <c r="H20" s="150"/>
      <c r="I20" s="150"/>
      <c r="J20" s="151"/>
    </row>
    <row r="21" spans="1:10" ht="12.75" customHeight="1">
      <c r="A21" s="152"/>
      <c r="B21" s="150"/>
      <c r="C21" s="150"/>
      <c r="D21" s="150"/>
      <c r="E21" s="150"/>
      <c r="F21" s="150"/>
      <c r="G21" s="150"/>
      <c r="H21" s="150"/>
      <c r="I21" s="150"/>
      <c r="J21" s="151"/>
    </row>
    <row r="22" spans="1:10" ht="12.75" customHeight="1">
      <c r="A22" s="152"/>
      <c r="B22" s="150"/>
      <c r="C22" s="150"/>
      <c r="D22" s="150"/>
      <c r="E22" s="150"/>
      <c r="F22" s="150"/>
      <c r="G22" s="150"/>
      <c r="H22" s="150"/>
      <c r="I22" s="150"/>
      <c r="J22" s="151"/>
    </row>
    <row r="23" spans="1:10" ht="12.75" customHeight="1">
      <c r="A23" s="152"/>
      <c r="B23" s="150"/>
      <c r="C23" s="150"/>
      <c r="D23" s="150"/>
      <c r="E23" s="150"/>
      <c r="F23" s="150"/>
      <c r="G23" s="150"/>
      <c r="H23" s="150"/>
      <c r="I23" s="150"/>
      <c r="J23" s="151"/>
    </row>
    <row r="24" spans="1:10" ht="12.75" customHeight="1">
      <c r="A24" s="170"/>
      <c r="B24" s="157"/>
      <c r="C24" s="157"/>
      <c r="D24" s="157"/>
      <c r="E24" s="157"/>
      <c r="F24" s="157"/>
      <c r="G24" s="157"/>
      <c r="H24" s="157"/>
      <c r="I24" s="157"/>
      <c r="J24" s="158"/>
    </row>
    <row r="25" spans="1:10" ht="12.75" customHeight="1">
      <c r="A25" s="296" t="s">
        <v>211</v>
      </c>
      <c r="B25" s="145"/>
      <c r="C25" s="145"/>
      <c r="D25" s="145"/>
      <c r="E25" s="145"/>
      <c r="F25" s="145"/>
      <c r="G25" s="145"/>
      <c r="H25" s="145"/>
      <c r="I25" s="145"/>
      <c r="J25" s="146"/>
    </row>
    <row r="26" spans="1:10" ht="12.75" customHeight="1">
      <c r="A26" s="297" t="s">
        <v>212</v>
      </c>
      <c r="B26" s="171"/>
      <c r="C26" s="171"/>
      <c r="D26" s="171"/>
      <c r="E26" s="171"/>
      <c r="F26" s="171"/>
      <c r="G26" s="171"/>
      <c r="H26" s="171"/>
      <c r="I26" s="171"/>
      <c r="J26" s="172"/>
    </row>
    <row r="27" spans="1:10" ht="12.75" customHeight="1">
      <c r="A27" s="152"/>
      <c r="B27" s="150"/>
      <c r="C27" s="150"/>
      <c r="D27" s="150"/>
      <c r="E27" s="150"/>
      <c r="F27" s="150"/>
      <c r="G27" s="150"/>
      <c r="H27" s="150"/>
      <c r="I27" s="150"/>
      <c r="J27" s="151"/>
    </row>
    <row r="28" spans="1:10" ht="12.75" customHeight="1">
      <c r="A28" s="170"/>
      <c r="B28" s="157"/>
      <c r="C28" s="157"/>
      <c r="D28" s="157"/>
      <c r="E28" s="157"/>
      <c r="F28" s="157"/>
      <c r="G28" s="157"/>
      <c r="H28" s="157"/>
      <c r="I28" s="157"/>
      <c r="J28" s="158"/>
    </row>
    <row r="29" spans="1:10" ht="12.75" customHeight="1">
      <c r="A29" s="177"/>
      <c r="B29" s="171"/>
      <c r="C29" s="171"/>
      <c r="D29" s="171"/>
      <c r="E29" s="171"/>
      <c r="F29" s="171"/>
      <c r="G29" s="171"/>
      <c r="H29" s="171"/>
      <c r="I29" s="171"/>
      <c r="J29" s="172"/>
    </row>
    <row r="30" spans="1:10" ht="12.75" customHeight="1">
      <c r="A30" s="152"/>
      <c r="B30" s="150"/>
      <c r="C30" s="150"/>
      <c r="D30" s="150"/>
      <c r="E30" s="150"/>
      <c r="F30" s="150"/>
      <c r="G30" s="150"/>
      <c r="H30" s="150"/>
      <c r="I30" s="150"/>
      <c r="J30" s="151"/>
    </row>
    <row r="31" spans="1:10" ht="12.75" customHeight="1">
      <c r="A31" s="152"/>
      <c r="B31" s="150"/>
      <c r="C31" s="150"/>
      <c r="D31" s="150"/>
      <c r="E31" s="150"/>
      <c r="F31" s="150"/>
      <c r="G31" s="150"/>
      <c r="H31" s="150"/>
      <c r="I31" s="150"/>
      <c r="J31" s="151"/>
    </row>
    <row r="32" spans="1:10" ht="12.75" customHeight="1">
      <c r="A32" s="152"/>
      <c r="B32" s="150"/>
      <c r="C32" s="150"/>
      <c r="D32" s="150"/>
      <c r="E32" s="150"/>
      <c r="F32" s="150"/>
      <c r="G32" s="150"/>
      <c r="H32" s="150"/>
      <c r="I32" s="150"/>
      <c r="J32" s="151"/>
    </row>
    <row r="33" spans="1:10" ht="12.75" customHeight="1">
      <c r="A33" s="152"/>
      <c r="B33" s="150"/>
      <c r="C33" s="150"/>
      <c r="D33" s="150"/>
      <c r="E33" s="150"/>
      <c r="F33" s="150"/>
      <c r="G33" s="150"/>
      <c r="H33" s="150"/>
      <c r="I33" s="150"/>
      <c r="J33" s="151"/>
    </row>
    <row r="34" spans="1:10" ht="12.75" customHeight="1">
      <c r="A34" s="152"/>
      <c r="B34" s="150"/>
      <c r="C34" s="150"/>
      <c r="D34" s="150"/>
      <c r="E34" s="150"/>
      <c r="F34" s="150"/>
      <c r="G34" s="150"/>
      <c r="H34" s="150"/>
      <c r="I34" s="150"/>
      <c r="J34" s="151"/>
    </row>
    <row r="35" spans="1:10" ht="12.75" customHeight="1">
      <c r="A35" s="152"/>
      <c r="B35" s="150"/>
      <c r="C35" s="150"/>
      <c r="D35" s="150"/>
      <c r="E35" s="150"/>
      <c r="F35" s="150"/>
      <c r="G35" s="150"/>
      <c r="H35" s="150"/>
      <c r="I35" s="150"/>
      <c r="J35" s="151"/>
    </row>
    <row r="36" spans="1:10" ht="12.75" customHeight="1">
      <c r="A36" s="152"/>
      <c r="B36" s="150"/>
      <c r="C36" s="150"/>
      <c r="D36" s="150"/>
      <c r="E36" s="150"/>
      <c r="F36" s="150"/>
      <c r="G36" s="150"/>
      <c r="H36" s="150"/>
      <c r="I36" s="150"/>
      <c r="J36" s="151"/>
    </row>
    <row r="37" spans="1:10" ht="12.75" customHeight="1">
      <c r="A37" s="152"/>
      <c r="B37" s="150"/>
      <c r="C37" s="150"/>
      <c r="D37" s="150"/>
      <c r="E37" s="150"/>
      <c r="F37" s="150"/>
      <c r="G37" s="150"/>
      <c r="H37" s="150"/>
      <c r="I37" s="150"/>
      <c r="J37" s="151"/>
    </row>
    <row r="38" spans="1:10" ht="12.75" customHeight="1">
      <c r="A38" s="152"/>
      <c r="B38" s="150"/>
      <c r="C38" s="150"/>
      <c r="D38" s="150"/>
      <c r="E38" s="150"/>
      <c r="F38" s="150"/>
      <c r="G38" s="150"/>
      <c r="H38" s="150"/>
      <c r="I38" s="150"/>
      <c r="J38" s="151"/>
    </row>
    <row r="39" spans="1:10" ht="12.75" customHeight="1">
      <c r="A39" s="152"/>
      <c r="B39" s="150"/>
      <c r="C39" s="150"/>
      <c r="D39" s="150"/>
      <c r="E39" s="150"/>
      <c r="F39" s="150"/>
      <c r="G39" s="150"/>
      <c r="H39" s="150"/>
      <c r="I39" s="150"/>
      <c r="J39" s="151"/>
    </row>
    <row r="40" spans="1:10" ht="12.75" customHeight="1">
      <c r="A40" s="152"/>
      <c r="B40" s="150"/>
      <c r="C40" s="150"/>
      <c r="D40" s="150"/>
      <c r="E40" s="150"/>
      <c r="F40" s="150"/>
      <c r="G40" s="150"/>
      <c r="H40" s="150"/>
      <c r="I40" s="150"/>
      <c r="J40" s="151"/>
    </row>
    <row r="41" spans="1:10" ht="12.75" customHeight="1">
      <c r="A41" s="152"/>
      <c r="B41" s="150"/>
      <c r="C41" s="150"/>
      <c r="D41" s="150"/>
      <c r="E41" s="150"/>
      <c r="F41" s="150"/>
      <c r="G41" s="150"/>
      <c r="H41" s="150"/>
      <c r="I41" s="150"/>
      <c r="J41" s="151"/>
    </row>
    <row r="42" spans="1:10" ht="12.75" customHeight="1">
      <c r="A42" s="152"/>
      <c r="B42" s="150"/>
      <c r="C42" s="150"/>
      <c r="D42" s="150"/>
      <c r="E42" s="150"/>
      <c r="F42" s="150"/>
      <c r="G42" s="150"/>
      <c r="H42" s="150"/>
      <c r="I42" s="150"/>
      <c r="J42" s="151"/>
    </row>
    <row r="43" spans="1:10" ht="12.75" customHeight="1">
      <c r="A43" s="170"/>
      <c r="B43" s="157"/>
      <c r="C43" s="157"/>
      <c r="D43" s="157"/>
      <c r="E43" s="157"/>
      <c r="F43" s="157"/>
      <c r="G43" s="157"/>
      <c r="H43" s="157"/>
      <c r="I43" s="157"/>
      <c r="J43" s="158"/>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63" t="s">
        <v>213</v>
      </c>
      <c r="B53" s="150"/>
      <c r="C53" s="150"/>
      <c r="D53" s="150"/>
      <c r="E53" s="150"/>
      <c r="F53" s="150"/>
      <c r="G53" s="150"/>
      <c r="H53" s="150"/>
      <c r="I53" s="150"/>
      <c r="J53" s="150"/>
    </row>
    <row r="54" spans="1:10" ht="12.75" customHeight="1">
      <c r="A54" s="298" t="s">
        <v>214</v>
      </c>
      <c r="B54" s="150"/>
      <c r="C54" s="150"/>
      <c r="D54" s="150"/>
      <c r="E54" s="150"/>
      <c r="F54" s="150"/>
      <c r="G54" s="150"/>
      <c r="H54" s="150"/>
      <c r="I54" s="150"/>
      <c r="J54" s="150"/>
    </row>
    <row r="55" spans="1:10" ht="12.75" customHeight="1"/>
    <row r="56" spans="1:10" ht="12.75" customHeight="1">
      <c r="A56" s="285" t="s">
        <v>190</v>
      </c>
      <c r="B56" s="150"/>
      <c r="C56" s="150"/>
      <c r="D56" s="150"/>
      <c r="E56" s="163" t="str">
        <f>County</f>
        <v>Yolo</v>
      </c>
      <c r="F56" s="150"/>
      <c r="G56" s="150"/>
      <c r="H56" s="150"/>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37" t="s">
        <v>215</v>
      </c>
      <c r="B1" s="16" t="str">
        <f>County</f>
        <v>Yolo</v>
      </c>
    </row>
    <row r="2" spans="1:2" ht="12.75" customHeight="1">
      <c r="A2" s="137" t="s">
        <v>216</v>
      </c>
      <c r="B2" s="138">
        <f>Reportdate</f>
        <v>45558</v>
      </c>
    </row>
    <row r="3" spans="1:2" ht="12.75" customHeight="1">
      <c r="A3" s="137" t="s">
        <v>217</v>
      </c>
      <c r="B3" s="33" t="e">
        <f>Chief</f>
        <v>#REF!</v>
      </c>
    </row>
    <row r="4" spans="1:2" ht="12.75" customHeight="1">
      <c r="A4" s="137" t="s">
        <v>218</v>
      </c>
      <c r="B4" s="137" t="e">
        <f>Chiefphone2</f>
        <v>#REF!</v>
      </c>
    </row>
    <row r="5" spans="1:2" ht="12.75" customHeight="1">
      <c r="A5" s="137" t="s">
        <v>219</v>
      </c>
      <c r="B5" s="137" t="e">
        <f>Address</f>
        <v>#REF!</v>
      </c>
    </row>
    <row r="6" spans="1:2" ht="12.75" customHeight="1">
      <c r="A6" s="137" t="s">
        <v>220</v>
      </c>
      <c r="B6" s="137" t="e">
        <f>City</f>
        <v>#REF!</v>
      </c>
    </row>
    <row r="7" spans="1:2" ht="12.75" customHeight="1">
      <c r="A7" s="137" t="s">
        <v>221</v>
      </c>
      <c r="B7" s="139" t="e">
        <f>ZIP</f>
        <v>#REF!</v>
      </c>
    </row>
    <row r="8" spans="1:2" ht="12.75" customHeight="1">
      <c r="A8" s="137" t="s">
        <v>222</v>
      </c>
      <c r="B8" s="137" t="e">
        <f>Chiefemail2</f>
        <v>#REF!</v>
      </c>
    </row>
    <row r="9" spans="1:2" ht="12.75" customHeight="1">
      <c r="A9" s="137" t="s">
        <v>223</v>
      </c>
      <c r="B9" s="137" t="str">
        <f>primcontact</f>
        <v>Rachelle Gayton</v>
      </c>
    </row>
    <row r="10" spans="1:2" ht="12.75" customHeight="1">
      <c r="A10" s="137" t="s">
        <v>224</v>
      </c>
      <c r="B10" s="137" t="str">
        <f>primarytitle</f>
        <v>Probation Division Manager of Administration</v>
      </c>
    </row>
    <row r="11" spans="1:2" ht="12.75" customHeight="1">
      <c r="A11" s="137" t="s">
        <v>225</v>
      </c>
      <c r="B11" s="137" t="str">
        <f>primphone</f>
        <v>(530) 406-5358</v>
      </c>
    </row>
    <row r="12" spans="1:2" ht="12.75" customHeight="1">
      <c r="A12" s="137" t="s">
        <v>226</v>
      </c>
      <c r="B12" s="137" t="str">
        <f>preemail</f>
        <v>Rachelle.Gayton@YoloCounty.gov</v>
      </c>
    </row>
    <row r="13" spans="1:2" ht="12.75" customHeight="1">
      <c r="A13" s="137" t="s">
        <v>227</v>
      </c>
      <c r="B13" s="140" t="str">
        <f>seccontact</f>
        <v>AnnMarie Boylan</v>
      </c>
    </row>
    <row r="14" spans="1:2" ht="12.75" customHeight="1">
      <c r="A14" s="137" t="s">
        <v>228</v>
      </c>
      <c r="B14" s="140" t="str">
        <f>seccontitle</f>
        <v>Fiscal Administrative Officer</v>
      </c>
    </row>
    <row r="15" spans="1:2" ht="12.75" customHeight="1">
      <c r="A15" s="137" t="s">
        <v>229</v>
      </c>
      <c r="B15" s="137" t="str">
        <f>secphone</f>
        <v>(530) 406-5329</v>
      </c>
    </row>
    <row r="16" spans="1:2" ht="12.75" customHeight="1">
      <c r="A16" s="137" t="s">
        <v>230</v>
      </c>
      <c r="B16" s="137" t="str">
        <f>secemail</f>
        <v xml:space="preserve">AnnMarie.Boylan@YoloCounty.gov </v>
      </c>
    </row>
    <row r="17" spans="1:2" ht="12.75" customHeight="1">
      <c r="A17" s="137" t="s">
        <v>231</v>
      </c>
      <c r="B17" s="137" t="e">
        <f>t1yobgtot+t2yobgtot+t3yobgtot+t4yobgtot+t5yobgtot+t6yobgtot+t7yobgtot+t8yobgtot+t9yobgtot+t10yobgtot</f>
        <v>#REF!</v>
      </c>
    </row>
    <row r="18" spans="1:2" ht="12.75" customHeight="1">
      <c r="A18" s="137" t="s">
        <v>232</v>
      </c>
      <c r="B18" s="137" t="e">
        <f>t1jjcpatot+t2jjcpatot+t3jjcpatot+t4jjcpatot+t5jjcpatot+t6jjcpatot+t7jjcpatot+t8jjcpatot+t9jjcpatot+t10jjcpatot</f>
        <v>#REF!</v>
      </c>
    </row>
    <row r="19" spans="1:2" ht="12.75" customHeight="1">
      <c r="A19" s="137" t="s">
        <v>233</v>
      </c>
      <c r="B19" s="137" t="e">
        <f>t1othertot+t2othertot+t3othertot+t4othertot+t5othertot+t6othertot+t7othertot+t8othertot+t9othertot+t10othertot</f>
        <v>#REF!</v>
      </c>
    </row>
    <row r="20" spans="1:2" ht="12.75" customHeight="1">
      <c r="A20" s="137" t="s">
        <v>234</v>
      </c>
      <c r="B20" s="137" t="e">
        <f>t1casecount+t2casecount+t3casecount+t4casecount+t5casecount+t6casecount+t7casecount+t8casecount+t9casecount+t10casecount</f>
        <v>#REF!</v>
      </c>
    </row>
    <row r="21" spans="1:2" ht="12.75" customHeight="1">
      <c r="A21" s="137" t="s">
        <v>235</v>
      </c>
      <c r="B21" s="137" t="e">
        <f>Numecodet1</f>
        <v>#REF!</v>
      </c>
    </row>
    <row r="22" spans="1:2" ht="12.75" customHeight="1">
      <c r="A22" s="137" t="s">
        <v>236</v>
      </c>
      <c r="B22" s="137" t="e">
        <f>Numealtt1</f>
        <v>#REF!</v>
      </c>
    </row>
    <row r="23" spans="1:2" ht="12.75" customHeight="1">
      <c r="A23" s="137" t="s">
        <v>237</v>
      </c>
      <c r="B23" s="141" t="e">
        <f>t1yobgsal</f>
        <v>#REF!</v>
      </c>
    </row>
    <row r="24" spans="1:2" ht="12.75" customHeight="1">
      <c r="A24" s="137" t="s">
        <v>238</v>
      </c>
      <c r="B24" s="141" t="e">
        <f>t1yobgserv</f>
        <v>#REF!</v>
      </c>
    </row>
    <row r="25" spans="1:2" ht="12.75" customHeight="1">
      <c r="A25" s="137" t="s">
        <v>239</v>
      </c>
      <c r="B25" s="141" t="e">
        <f>t1yobgprof</f>
        <v>#REF!</v>
      </c>
    </row>
    <row r="26" spans="1:2" ht="12.75" customHeight="1">
      <c r="A26" s="137" t="s">
        <v>240</v>
      </c>
      <c r="B26" s="141" t="e">
        <f>t1yobgcbo</f>
        <v>#REF!</v>
      </c>
    </row>
    <row r="27" spans="1:2" ht="12.75" customHeight="1">
      <c r="A27" s="137" t="s">
        <v>241</v>
      </c>
      <c r="B27" s="141" t="e">
        <f>t1yobgequip</f>
        <v>#REF!</v>
      </c>
    </row>
    <row r="28" spans="1:2" ht="12.75" customHeight="1">
      <c r="A28" s="137" t="s">
        <v>242</v>
      </c>
      <c r="B28" s="141" t="e">
        <f>t1yobgadmin</f>
        <v>#REF!</v>
      </c>
    </row>
    <row r="29" spans="1:2" ht="12.75" customHeight="1">
      <c r="A29" s="137" t="s">
        <v>243</v>
      </c>
      <c r="B29" s="141" t="e">
        <f>t1yobgothr1</f>
        <v>#REF!</v>
      </c>
    </row>
    <row r="30" spans="1:2" ht="12.75" customHeight="1">
      <c r="A30" s="137" t="s">
        <v>244</v>
      </c>
      <c r="B30" s="141" t="e">
        <f>t1yobgothr2</f>
        <v>#REF!</v>
      </c>
    </row>
    <row r="31" spans="1:2" ht="12.75" customHeight="1">
      <c r="A31" s="137" t="s">
        <v>245</v>
      </c>
      <c r="B31" s="141" t="e">
        <f>t1yobgothr3</f>
        <v>#REF!</v>
      </c>
    </row>
    <row r="32" spans="1:2" ht="12.75" customHeight="1">
      <c r="A32" s="137" t="s">
        <v>246</v>
      </c>
      <c r="B32" s="141" t="e">
        <f>t1yobgtot</f>
        <v>#REF!</v>
      </c>
    </row>
    <row r="33" spans="1:2" ht="12.75" customHeight="1">
      <c r="A33" s="137" t="s">
        <v>247</v>
      </c>
      <c r="B33" s="141" t="e">
        <f>t1jjcpasal</f>
        <v>#REF!</v>
      </c>
    </row>
    <row r="34" spans="1:2" ht="12.75" customHeight="1">
      <c r="A34" s="137" t="s">
        <v>248</v>
      </c>
      <c r="B34" s="141" t="e">
        <f>t1jjcpaserv</f>
        <v>#REF!</v>
      </c>
    </row>
    <row r="35" spans="1:2" ht="12.75" customHeight="1">
      <c r="A35" s="137" t="s">
        <v>249</v>
      </c>
      <c r="B35" s="141" t="e">
        <f>t1jjcpaprof</f>
        <v>#REF!</v>
      </c>
    </row>
    <row r="36" spans="1:2" ht="12.75" customHeight="1">
      <c r="A36" s="137" t="s">
        <v>250</v>
      </c>
      <c r="B36" s="141" t="e">
        <f>t1jjcpacbo</f>
        <v>#REF!</v>
      </c>
    </row>
    <row r="37" spans="1:2" ht="12.75" customHeight="1">
      <c r="A37" s="137" t="s">
        <v>251</v>
      </c>
      <c r="B37" s="141" t="e">
        <f>t1jjcpaequip</f>
        <v>#REF!</v>
      </c>
    </row>
    <row r="38" spans="1:2" ht="12.75" customHeight="1">
      <c r="A38" s="137" t="s">
        <v>252</v>
      </c>
      <c r="B38" s="141" t="e">
        <f>t1jjcpaadmin</f>
        <v>#REF!</v>
      </c>
    </row>
    <row r="39" spans="1:2" ht="12.75" customHeight="1">
      <c r="A39" s="137" t="s">
        <v>253</v>
      </c>
      <c r="B39" s="141" t="e">
        <f>t1jjcpaothr1</f>
        <v>#REF!</v>
      </c>
    </row>
    <row r="40" spans="1:2" ht="12.75" customHeight="1">
      <c r="A40" s="137" t="s">
        <v>254</v>
      </c>
      <c r="B40" s="141" t="e">
        <f>t1jjcpaothr2</f>
        <v>#REF!</v>
      </c>
    </row>
    <row r="41" spans="1:2" ht="12.75" customHeight="1">
      <c r="A41" s="137" t="s">
        <v>255</v>
      </c>
      <c r="B41" s="141" t="e">
        <f>t1jjcpaothr3</f>
        <v>#REF!</v>
      </c>
    </row>
    <row r="42" spans="1:2" ht="12.75" customHeight="1">
      <c r="A42" s="137" t="s">
        <v>256</v>
      </c>
      <c r="B42" s="141" t="e">
        <f>t1jjcpatot</f>
        <v>#REF!</v>
      </c>
    </row>
    <row r="43" spans="1:2" ht="12.75" customHeight="1">
      <c r="A43" s="137" t="s">
        <v>257</v>
      </c>
      <c r="B43" s="141" t="e">
        <f>t1othersal</f>
        <v>#REF!</v>
      </c>
    </row>
    <row r="44" spans="1:2" ht="12.75" customHeight="1">
      <c r="A44" s="137" t="s">
        <v>258</v>
      </c>
      <c r="B44" s="141" t="e">
        <f>t1otherserv</f>
        <v>#REF!</v>
      </c>
    </row>
    <row r="45" spans="1:2" ht="12.75" customHeight="1">
      <c r="A45" s="137" t="s">
        <v>259</v>
      </c>
      <c r="B45" s="141" t="e">
        <f>t1otherprof</f>
        <v>#REF!</v>
      </c>
    </row>
    <row r="46" spans="1:2" ht="12.75" customHeight="1">
      <c r="A46" s="137" t="s">
        <v>260</v>
      </c>
      <c r="B46" s="141" t="e">
        <f>t1othercbo</f>
        <v>#REF!</v>
      </c>
    </row>
    <row r="47" spans="1:2" ht="12.75" customHeight="1">
      <c r="A47" s="137" t="s">
        <v>261</v>
      </c>
      <c r="B47" s="141" t="e">
        <f>t1otherequip</f>
        <v>#REF!</v>
      </c>
    </row>
    <row r="48" spans="1:2" ht="12.75" customHeight="1">
      <c r="A48" s="137" t="s">
        <v>262</v>
      </c>
      <c r="B48" s="141" t="e">
        <f>t1otheradmin</f>
        <v>#REF!</v>
      </c>
    </row>
    <row r="49" spans="1:2" ht="12.75" customHeight="1">
      <c r="A49" s="137" t="s">
        <v>263</v>
      </c>
      <c r="B49" s="141" t="e">
        <f>t1otherothr1</f>
        <v>#REF!</v>
      </c>
    </row>
    <row r="50" spans="1:2" ht="12.75" customHeight="1">
      <c r="A50" s="137" t="s">
        <v>264</v>
      </c>
      <c r="B50" s="141" t="e">
        <f>t1otherothr2</f>
        <v>#REF!</v>
      </c>
    </row>
    <row r="51" spans="1:2" ht="12.75" customHeight="1">
      <c r="A51" s="137" t="s">
        <v>265</v>
      </c>
      <c r="B51" s="141" t="e">
        <f>t1otherothr3</f>
        <v>#REF!</v>
      </c>
    </row>
    <row r="52" spans="1:2" ht="12.75" customHeight="1">
      <c r="A52" s="137" t="s">
        <v>266</v>
      </c>
      <c r="B52" s="141" t="e">
        <f>t1othertot</f>
        <v>#REF!</v>
      </c>
    </row>
    <row r="53" spans="1:2" ht="12.75" customHeight="1">
      <c r="A53" s="137" t="s">
        <v>267</v>
      </c>
      <c r="B53" s="139" t="e">
        <f>t1casecount</f>
        <v>#REF!</v>
      </c>
    </row>
    <row r="54" spans="1:2" ht="12.75" customHeight="1">
      <c r="A54" s="137" t="s">
        <v>268</v>
      </c>
      <c r="B54" s="142" t="e">
        <f>t1yobgpercap</f>
        <v>#REF!</v>
      </c>
    </row>
    <row r="55" spans="1:2" ht="12.75" customHeight="1">
      <c r="A55" s="137" t="s">
        <v>269</v>
      </c>
      <c r="B55" s="142" t="e">
        <f>t1totpercap</f>
        <v>#REF!</v>
      </c>
    </row>
    <row r="56" spans="1:2" ht="12.75" customHeight="1">
      <c r="A56" s="137" t="s">
        <v>270</v>
      </c>
      <c r="B56" s="139" t="e">
        <f>t1youth1</f>
        <v>#REF!</v>
      </c>
    </row>
    <row r="57" spans="1:2" ht="12.75" customHeight="1">
      <c r="A57" s="137" t="s">
        <v>271</v>
      </c>
      <c r="B57" s="139" t="e">
        <f>t1youth2</f>
        <v>#REF!</v>
      </c>
    </row>
    <row r="58" spans="1:2" ht="12.75" customHeight="1">
      <c r="A58" s="137" t="s">
        <v>272</v>
      </c>
      <c r="B58" s="139" t="e">
        <f>t1youth3</f>
        <v>#REF!</v>
      </c>
    </row>
    <row r="59" spans="1:2" ht="12.75" customHeight="1">
      <c r="A59" s="137" t="s">
        <v>273</v>
      </c>
      <c r="B59" s="139" t="e">
        <f>t1youth4</f>
        <v>#REF!</v>
      </c>
    </row>
    <row r="60" spans="1:2" ht="12.75" customHeight="1">
      <c r="A60" s="137" t="s">
        <v>274</v>
      </c>
      <c r="B60" s="139" t="e">
        <f>t1youth5</f>
        <v>#REF!</v>
      </c>
    </row>
    <row r="61" spans="1:2" ht="12.75" customHeight="1">
      <c r="A61" s="137" t="s">
        <v>275</v>
      </c>
      <c r="B61" s="139" t="e">
        <f>t1youth6</f>
        <v>#REF!</v>
      </c>
    </row>
    <row r="62" spans="1:2" ht="12.75" customHeight="1">
      <c r="A62" s="137" t="s">
        <v>276</v>
      </c>
      <c r="B62" s="137" t="e">
        <f>Numecodet2</f>
        <v>#REF!</v>
      </c>
    </row>
    <row r="63" spans="1:2" ht="12.75" customHeight="1">
      <c r="A63" s="137" t="s">
        <v>277</v>
      </c>
      <c r="B63" s="137" t="e">
        <f>Numealtt2</f>
        <v>#REF!</v>
      </c>
    </row>
    <row r="64" spans="1:2" ht="12.75" customHeight="1">
      <c r="A64" s="137" t="s">
        <v>278</v>
      </c>
      <c r="B64" s="141" t="e">
        <f>t2yobgsal</f>
        <v>#REF!</v>
      </c>
    </row>
    <row r="65" spans="1:2" ht="12.75" customHeight="1">
      <c r="A65" s="137" t="s">
        <v>279</v>
      </c>
      <c r="B65" s="141" t="e">
        <f>t2yobgserv</f>
        <v>#REF!</v>
      </c>
    </row>
    <row r="66" spans="1:2" ht="12.75" customHeight="1">
      <c r="A66" s="137" t="s">
        <v>280</v>
      </c>
      <c r="B66" s="141" t="e">
        <f>t2yobgprof</f>
        <v>#REF!</v>
      </c>
    </row>
    <row r="67" spans="1:2" ht="12.75" customHeight="1">
      <c r="A67" s="137" t="s">
        <v>281</v>
      </c>
      <c r="B67" s="141" t="e">
        <f>t2yobgcbo</f>
        <v>#REF!</v>
      </c>
    </row>
    <row r="68" spans="1:2" ht="12.75" customHeight="1">
      <c r="A68" s="137" t="s">
        <v>282</v>
      </c>
      <c r="B68" s="141" t="e">
        <f>t2yobgequip</f>
        <v>#REF!</v>
      </c>
    </row>
    <row r="69" spans="1:2" ht="12.75" customHeight="1">
      <c r="A69" s="137" t="s">
        <v>283</v>
      </c>
      <c r="B69" s="141" t="e">
        <f>t2yobgadmin</f>
        <v>#REF!</v>
      </c>
    </row>
    <row r="70" spans="1:2" ht="12.75" customHeight="1">
      <c r="A70" s="137" t="s">
        <v>284</v>
      </c>
      <c r="B70" s="141" t="e">
        <f>t2yobgothr1</f>
        <v>#REF!</v>
      </c>
    </row>
    <row r="71" spans="1:2" ht="12.75" customHeight="1">
      <c r="A71" s="137" t="s">
        <v>285</v>
      </c>
      <c r="B71" s="141" t="e">
        <f>t2yobgothr2</f>
        <v>#REF!</v>
      </c>
    </row>
    <row r="72" spans="1:2" ht="12.75" customHeight="1">
      <c r="A72" s="137" t="s">
        <v>286</v>
      </c>
      <c r="B72" s="141" t="e">
        <f>t2yobgothr3</f>
        <v>#REF!</v>
      </c>
    </row>
    <row r="73" spans="1:2" ht="12.75" customHeight="1">
      <c r="A73" s="137" t="s">
        <v>287</v>
      </c>
      <c r="B73" s="141" t="e">
        <f>t2yobgtot</f>
        <v>#REF!</v>
      </c>
    </row>
    <row r="74" spans="1:2" ht="12.75" customHeight="1">
      <c r="A74" s="137" t="s">
        <v>288</v>
      </c>
      <c r="B74" s="141" t="e">
        <f>t2jjcpasal</f>
        <v>#REF!</v>
      </c>
    </row>
    <row r="75" spans="1:2" ht="12.75" customHeight="1">
      <c r="A75" s="137" t="s">
        <v>289</v>
      </c>
      <c r="B75" s="141" t="e">
        <f>t2jjcpaserv</f>
        <v>#REF!</v>
      </c>
    </row>
    <row r="76" spans="1:2" ht="12.75" customHeight="1">
      <c r="A76" s="137" t="s">
        <v>290</v>
      </c>
      <c r="B76" s="141" t="e">
        <f>t2jjcpaprof</f>
        <v>#REF!</v>
      </c>
    </row>
    <row r="77" spans="1:2" ht="12.75" customHeight="1">
      <c r="A77" s="137" t="s">
        <v>291</v>
      </c>
      <c r="B77" s="141" t="e">
        <f>t2jjcpacbo</f>
        <v>#REF!</v>
      </c>
    </row>
    <row r="78" spans="1:2" ht="12.75" customHeight="1">
      <c r="A78" s="137" t="s">
        <v>292</v>
      </c>
      <c r="B78" s="141" t="e">
        <f>t2jjcpaequip</f>
        <v>#REF!</v>
      </c>
    </row>
    <row r="79" spans="1:2" ht="12.75" customHeight="1">
      <c r="A79" s="137" t="s">
        <v>293</v>
      </c>
      <c r="B79" s="141" t="e">
        <f>t2jjcpaadmin</f>
        <v>#REF!</v>
      </c>
    </row>
    <row r="80" spans="1:2" ht="12.75" customHeight="1">
      <c r="A80" s="137" t="s">
        <v>294</v>
      </c>
      <c r="B80" s="141" t="e">
        <f>t2jjcpaothr1</f>
        <v>#REF!</v>
      </c>
    </row>
    <row r="81" spans="1:2" ht="12.75" customHeight="1">
      <c r="A81" s="137" t="s">
        <v>295</v>
      </c>
      <c r="B81" s="141" t="e">
        <f>t2jjcpaothr2</f>
        <v>#REF!</v>
      </c>
    </row>
    <row r="82" spans="1:2" ht="12.75" customHeight="1">
      <c r="A82" s="137" t="s">
        <v>296</v>
      </c>
      <c r="B82" s="141" t="e">
        <f>t2jjcpaothr3</f>
        <v>#REF!</v>
      </c>
    </row>
    <row r="83" spans="1:2" ht="12.75" customHeight="1">
      <c r="A83" s="137" t="s">
        <v>297</v>
      </c>
      <c r="B83" s="141" t="e">
        <f>t2jjcpatot</f>
        <v>#REF!</v>
      </c>
    </row>
    <row r="84" spans="1:2" ht="12.75" customHeight="1">
      <c r="A84" s="137" t="s">
        <v>298</v>
      </c>
      <c r="B84" s="141" t="e">
        <f>t2othersal</f>
        <v>#REF!</v>
      </c>
    </row>
    <row r="85" spans="1:2" ht="12.75" customHeight="1">
      <c r="A85" s="137" t="s">
        <v>299</v>
      </c>
      <c r="B85" s="141" t="e">
        <f>t2otherserv</f>
        <v>#REF!</v>
      </c>
    </row>
    <row r="86" spans="1:2" ht="12.75" customHeight="1">
      <c r="A86" s="137" t="s">
        <v>300</v>
      </c>
      <c r="B86" s="141" t="e">
        <f>t2otherprof</f>
        <v>#REF!</v>
      </c>
    </row>
    <row r="87" spans="1:2" ht="12.75" customHeight="1">
      <c r="A87" s="137" t="s">
        <v>301</v>
      </c>
      <c r="B87" s="141" t="e">
        <f>t2othercbo</f>
        <v>#REF!</v>
      </c>
    </row>
    <row r="88" spans="1:2" ht="12.75" customHeight="1">
      <c r="A88" s="137" t="s">
        <v>302</v>
      </c>
      <c r="B88" s="141" t="e">
        <f>t2otherequip</f>
        <v>#REF!</v>
      </c>
    </row>
    <row r="89" spans="1:2" ht="12.75" customHeight="1">
      <c r="A89" s="137" t="s">
        <v>303</v>
      </c>
      <c r="B89" s="141" t="e">
        <f>t2otheradmin</f>
        <v>#REF!</v>
      </c>
    </row>
    <row r="90" spans="1:2" ht="12.75" customHeight="1">
      <c r="A90" s="137" t="s">
        <v>304</v>
      </c>
      <c r="B90" s="141" t="e">
        <f>t2otherothr1</f>
        <v>#REF!</v>
      </c>
    </row>
    <row r="91" spans="1:2" ht="12.75" customHeight="1">
      <c r="A91" s="137" t="s">
        <v>305</v>
      </c>
      <c r="B91" s="141" t="e">
        <f>t2otherothr2</f>
        <v>#REF!</v>
      </c>
    </row>
    <row r="92" spans="1:2" ht="12.75" customHeight="1">
      <c r="A92" s="137" t="s">
        <v>306</v>
      </c>
      <c r="B92" s="141" t="e">
        <f>t2otherothr3</f>
        <v>#REF!</v>
      </c>
    </row>
    <row r="93" spans="1:2" ht="12.75" customHeight="1">
      <c r="A93" s="137" t="s">
        <v>307</v>
      </c>
      <c r="B93" s="141" t="e">
        <f>t2othertot</f>
        <v>#REF!</v>
      </c>
    </row>
    <row r="94" spans="1:2" ht="12.75" customHeight="1">
      <c r="A94" s="137" t="s">
        <v>308</v>
      </c>
      <c r="B94" s="139" t="e">
        <f>t2casecount</f>
        <v>#REF!</v>
      </c>
    </row>
    <row r="95" spans="1:2" ht="12.75" customHeight="1">
      <c r="A95" s="137" t="s">
        <v>309</v>
      </c>
      <c r="B95" s="142" t="e">
        <f>t2yobgpercap</f>
        <v>#REF!</v>
      </c>
    </row>
    <row r="96" spans="1:2" ht="12.75" customHeight="1">
      <c r="A96" s="137" t="s">
        <v>310</v>
      </c>
      <c r="B96" s="142" t="e">
        <f>t2totpercap</f>
        <v>#REF!</v>
      </c>
    </row>
    <row r="97" spans="1:2" ht="12.75" customHeight="1">
      <c r="A97" s="137" t="s">
        <v>311</v>
      </c>
      <c r="B97" s="139" t="e">
        <f>t2youth1</f>
        <v>#REF!</v>
      </c>
    </row>
    <row r="98" spans="1:2" ht="12.75" customHeight="1">
      <c r="A98" s="137" t="s">
        <v>312</v>
      </c>
      <c r="B98" s="139" t="e">
        <f>t2youth2</f>
        <v>#REF!</v>
      </c>
    </row>
    <row r="99" spans="1:2" ht="12.75" customHeight="1">
      <c r="A99" s="137" t="s">
        <v>313</v>
      </c>
      <c r="B99" s="139" t="e">
        <f>t2youth3</f>
        <v>#REF!</v>
      </c>
    </row>
    <row r="100" spans="1:2" ht="12.75" customHeight="1">
      <c r="A100" s="137" t="s">
        <v>314</v>
      </c>
      <c r="B100" s="139" t="e">
        <f>t2youth4</f>
        <v>#REF!</v>
      </c>
    </row>
    <row r="101" spans="1:2" ht="12.75" customHeight="1">
      <c r="A101" s="137" t="s">
        <v>315</v>
      </c>
      <c r="B101" s="139" t="e">
        <f>t2youth5</f>
        <v>#REF!</v>
      </c>
    </row>
    <row r="102" spans="1:2" ht="12.75" customHeight="1">
      <c r="A102" s="137" t="s">
        <v>316</v>
      </c>
      <c r="B102" s="139" t="e">
        <f>t2youth6</f>
        <v>#REF!</v>
      </c>
    </row>
    <row r="103" spans="1:2" ht="12.75" customHeight="1">
      <c r="A103" s="137" t="s">
        <v>317</v>
      </c>
      <c r="B103" s="137" t="e">
        <f>Numecodet3</f>
        <v>#REF!</v>
      </c>
    </row>
    <row r="104" spans="1:2" ht="12.75" customHeight="1">
      <c r="A104" s="137" t="s">
        <v>318</v>
      </c>
      <c r="B104" s="137" t="e">
        <f>Numealtt3</f>
        <v>#REF!</v>
      </c>
    </row>
    <row r="105" spans="1:2" ht="12.75" customHeight="1">
      <c r="A105" s="137" t="s">
        <v>319</v>
      </c>
      <c r="B105" s="141" t="e">
        <f>t3yobgsal</f>
        <v>#REF!</v>
      </c>
    </row>
    <row r="106" spans="1:2" ht="12.75" customHeight="1">
      <c r="A106" s="137" t="s">
        <v>320</v>
      </c>
      <c r="B106" s="141" t="e">
        <f>t3yobgserv</f>
        <v>#REF!</v>
      </c>
    </row>
    <row r="107" spans="1:2" ht="12.75" customHeight="1">
      <c r="A107" s="137" t="s">
        <v>321</v>
      </c>
      <c r="B107" s="141" t="e">
        <f>t3yobgprof</f>
        <v>#REF!</v>
      </c>
    </row>
    <row r="108" spans="1:2" ht="12.75" customHeight="1">
      <c r="A108" s="137" t="s">
        <v>322</v>
      </c>
      <c r="B108" s="141" t="e">
        <f>t3yobgcbo</f>
        <v>#REF!</v>
      </c>
    </row>
    <row r="109" spans="1:2" ht="12.75" customHeight="1">
      <c r="A109" s="137" t="s">
        <v>323</v>
      </c>
      <c r="B109" s="141" t="e">
        <f>t3yobgequip</f>
        <v>#REF!</v>
      </c>
    </row>
    <row r="110" spans="1:2" ht="12.75" customHeight="1">
      <c r="A110" s="137" t="s">
        <v>324</v>
      </c>
      <c r="B110" s="141" t="e">
        <f>t3yobgadmin</f>
        <v>#REF!</v>
      </c>
    </row>
    <row r="111" spans="1:2" ht="12.75" customHeight="1">
      <c r="A111" s="137" t="s">
        <v>325</v>
      </c>
      <c r="B111" s="141" t="e">
        <f>t3yobgothr1</f>
        <v>#REF!</v>
      </c>
    </row>
    <row r="112" spans="1:2" ht="12.75" customHeight="1">
      <c r="A112" s="137" t="s">
        <v>326</v>
      </c>
      <c r="B112" s="141" t="e">
        <f>t3yobgothr2</f>
        <v>#REF!</v>
      </c>
    </row>
    <row r="113" spans="1:2" ht="12.75" customHeight="1">
      <c r="A113" s="137" t="s">
        <v>327</v>
      </c>
      <c r="B113" s="141" t="e">
        <f>t3yobgothr3</f>
        <v>#REF!</v>
      </c>
    </row>
    <row r="114" spans="1:2" ht="12.75" customHeight="1">
      <c r="A114" s="137" t="s">
        <v>328</v>
      </c>
      <c r="B114" s="141" t="e">
        <f>t3yobgtot</f>
        <v>#REF!</v>
      </c>
    </row>
    <row r="115" spans="1:2" ht="12.75" customHeight="1">
      <c r="A115" s="137" t="s">
        <v>329</v>
      </c>
      <c r="B115" s="141" t="e">
        <f>t3jjcpasal</f>
        <v>#REF!</v>
      </c>
    </row>
    <row r="116" spans="1:2" ht="12.75" customHeight="1">
      <c r="A116" s="137" t="s">
        <v>330</v>
      </c>
      <c r="B116" s="141" t="e">
        <f>t3jjcpaserv</f>
        <v>#REF!</v>
      </c>
    </row>
    <row r="117" spans="1:2" ht="12.75" customHeight="1">
      <c r="A117" s="137" t="s">
        <v>331</v>
      </c>
      <c r="B117" s="141" t="e">
        <f>t3jjcpaprof</f>
        <v>#REF!</v>
      </c>
    </row>
    <row r="118" spans="1:2" ht="12.75" customHeight="1">
      <c r="A118" s="137" t="s">
        <v>332</v>
      </c>
      <c r="B118" s="141" t="e">
        <f>t3jjcpacbo</f>
        <v>#REF!</v>
      </c>
    </row>
    <row r="119" spans="1:2" ht="12.75" customHeight="1">
      <c r="A119" s="137" t="s">
        <v>333</v>
      </c>
      <c r="B119" s="141" t="e">
        <f>t3jjcpaequip</f>
        <v>#REF!</v>
      </c>
    </row>
    <row r="120" spans="1:2" ht="12.75" customHeight="1">
      <c r="A120" s="137" t="s">
        <v>334</v>
      </c>
      <c r="B120" s="141" t="e">
        <f>t3jjcpaadmin</f>
        <v>#REF!</v>
      </c>
    </row>
    <row r="121" spans="1:2" ht="12.75" customHeight="1">
      <c r="A121" s="137" t="s">
        <v>335</v>
      </c>
      <c r="B121" s="141" t="e">
        <f>t3jjcpaothr1</f>
        <v>#REF!</v>
      </c>
    </row>
    <row r="122" spans="1:2" ht="12.75" customHeight="1">
      <c r="A122" s="137" t="s">
        <v>336</v>
      </c>
      <c r="B122" s="141" t="e">
        <f>t3jjcpaothr2</f>
        <v>#REF!</v>
      </c>
    </row>
    <row r="123" spans="1:2" ht="12.75" customHeight="1">
      <c r="A123" s="137" t="s">
        <v>337</v>
      </c>
      <c r="B123" s="141" t="e">
        <f>t3jjcpaothr3</f>
        <v>#REF!</v>
      </c>
    </row>
    <row r="124" spans="1:2" ht="12.75" customHeight="1">
      <c r="A124" s="137" t="s">
        <v>338</v>
      </c>
      <c r="B124" s="141" t="e">
        <f>t3jjcpatot</f>
        <v>#REF!</v>
      </c>
    </row>
    <row r="125" spans="1:2" ht="12.75" customHeight="1">
      <c r="A125" s="137" t="s">
        <v>339</v>
      </c>
      <c r="B125" s="141" t="e">
        <f>t3othersal</f>
        <v>#REF!</v>
      </c>
    </row>
    <row r="126" spans="1:2" ht="12.75" customHeight="1">
      <c r="A126" s="137" t="s">
        <v>340</v>
      </c>
      <c r="B126" s="141" t="e">
        <f>t3otherserv</f>
        <v>#REF!</v>
      </c>
    </row>
    <row r="127" spans="1:2" ht="12.75" customHeight="1">
      <c r="A127" s="137" t="s">
        <v>341</v>
      </c>
      <c r="B127" s="141" t="e">
        <f>t3otherprof</f>
        <v>#REF!</v>
      </c>
    </row>
    <row r="128" spans="1:2" ht="12.75" customHeight="1">
      <c r="A128" s="137" t="s">
        <v>342</v>
      </c>
      <c r="B128" s="141" t="e">
        <f>t3othercbo</f>
        <v>#REF!</v>
      </c>
    </row>
    <row r="129" spans="1:2" ht="12.75" customHeight="1">
      <c r="A129" s="137" t="s">
        <v>343</v>
      </c>
      <c r="B129" s="141" t="e">
        <f>t3otherequip</f>
        <v>#REF!</v>
      </c>
    </row>
    <row r="130" spans="1:2" ht="12.75" customHeight="1">
      <c r="A130" s="137" t="s">
        <v>344</v>
      </c>
      <c r="B130" s="141" t="e">
        <f>t3otheradmin</f>
        <v>#REF!</v>
      </c>
    </row>
    <row r="131" spans="1:2" ht="12.75" customHeight="1">
      <c r="A131" s="137" t="s">
        <v>345</v>
      </c>
      <c r="B131" s="141" t="e">
        <f>t3otherothr1</f>
        <v>#REF!</v>
      </c>
    </row>
    <row r="132" spans="1:2" ht="12.75" customHeight="1">
      <c r="A132" s="137" t="s">
        <v>346</v>
      </c>
      <c r="B132" s="141" t="e">
        <f>t3otherothr2</f>
        <v>#REF!</v>
      </c>
    </row>
    <row r="133" spans="1:2" ht="12.75" customHeight="1">
      <c r="A133" s="137" t="s">
        <v>347</v>
      </c>
      <c r="B133" s="141" t="e">
        <f>t3otherothr3</f>
        <v>#REF!</v>
      </c>
    </row>
    <row r="134" spans="1:2" ht="12.75" customHeight="1">
      <c r="A134" s="137" t="s">
        <v>348</v>
      </c>
      <c r="B134" s="141" t="e">
        <f>t3othertot</f>
        <v>#REF!</v>
      </c>
    </row>
    <row r="135" spans="1:2" ht="12.75" customHeight="1">
      <c r="A135" s="137" t="s">
        <v>349</v>
      </c>
      <c r="B135" s="139" t="e">
        <f>t3casecount</f>
        <v>#REF!</v>
      </c>
    </row>
    <row r="136" spans="1:2" ht="12.75" customHeight="1">
      <c r="A136" s="137" t="s">
        <v>350</v>
      </c>
      <c r="B136" s="142" t="e">
        <f>t3yobgpercap</f>
        <v>#REF!</v>
      </c>
    </row>
    <row r="137" spans="1:2" ht="12.75" customHeight="1">
      <c r="A137" s="137" t="s">
        <v>351</v>
      </c>
      <c r="B137" s="142" t="e">
        <f>t3totpercap</f>
        <v>#REF!</v>
      </c>
    </row>
    <row r="138" spans="1:2" ht="12.75" customHeight="1">
      <c r="A138" s="137" t="s">
        <v>352</v>
      </c>
      <c r="B138" s="139" t="e">
        <f>t3youth1</f>
        <v>#REF!</v>
      </c>
    </row>
    <row r="139" spans="1:2" ht="12.75" customHeight="1">
      <c r="A139" s="137" t="s">
        <v>353</v>
      </c>
      <c r="B139" s="139" t="e">
        <f>t3youth2</f>
        <v>#REF!</v>
      </c>
    </row>
    <row r="140" spans="1:2" ht="12.75" customHeight="1">
      <c r="A140" s="137" t="s">
        <v>354</v>
      </c>
      <c r="B140" s="139" t="e">
        <f>t3youth3</f>
        <v>#REF!</v>
      </c>
    </row>
    <row r="141" spans="1:2" ht="12.75" customHeight="1">
      <c r="A141" s="137" t="s">
        <v>355</v>
      </c>
      <c r="B141" s="139" t="e">
        <f>t3youth4</f>
        <v>#REF!</v>
      </c>
    </row>
    <row r="142" spans="1:2" ht="12.75" customHeight="1">
      <c r="A142" s="137" t="s">
        <v>356</v>
      </c>
      <c r="B142" s="139" t="e">
        <f>t3youth5</f>
        <v>#REF!</v>
      </c>
    </row>
    <row r="143" spans="1:2" ht="12.75" customHeight="1">
      <c r="A143" s="137" t="s">
        <v>357</v>
      </c>
      <c r="B143" s="139" t="e">
        <f>t3youth6</f>
        <v>#REF!</v>
      </c>
    </row>
    <row r="144" spans="1:2" ht="12.75" customHeight="1">
      <c r="A144" s="137" t="s">
        <v>358</v>
      </c>
      <c r="B144" s="137" t="e">
        <f>Numecodet4</f>
        <v>#REF!</v>
      </c>
    </row>
    <row r="145" spans="1:2" ht="12.75" customHeight="1">
      <c r="A145" s="137" t="s">
        <v>359</v>
      </c>
      <c r="B145" s="137" t="e">
        <f>Numealtt4</f>
        <v>#REF!</v>
      </c>
    </row>
    <row r="146" spans="1:2" ht="12.75" customHeight="1">
      <c r="A146" s="137" t="s">
        <v>360</v>
      </c>
      <c r="B146" s="141" t="e">
        <f>t4yobgsal</f>
        <v>#REF!</v>
      </c>
    </row>
    <row r="147" spans="1:2" ht="12.75" customHeight="1">
      <c r="A147" s="137" t="s">
        <v>361</v>
      </c>
      <c r="B147" s="141" t="e">
        <f>t4yobgserv</f>
        <v>#REF!</v>
      </c>
    </row>
    <row r="148" spans="1:2" ht="12.75" customHeight="1">
      <c r="A148" s="137" t="s">
        <v>362</v>
      </c>
      <c r="B148" s="141" t="e">
        <f>t4yobgprof</f>
        <v>#REF!</v>
      </c>
    </row>
    <row r="149" spans="1:2" ht="12.75" customHeight="1">
      <c r="A149" s="137" t="s">
        <v>363</v>
      </c>
      <c r="B149" s="141" t="e">
        <f>t4yobgcbo</f>
        <v>#REF!</v>
      </c>
    </row>
    <row r="150" spans="1:2" ht="12.75" customHeight="1">
      <c r="A150" s="137" t="s">
        <v>364</v>
      </c>
      <c r="B150" s="141" t="e">
        <f>t4yobgequip</f>
        <v>#REF!</v>
      </c>
    </row>
    <row r="151" spans="1:2" ht="12.75" customHeight="1">
      <c r="A151" s="137" t="s">
        <v>365</v>
      </c>
      <c r="B151" s="141" t="e">
        <f>t4yobgadmin</f>
        <v>#REF!</v>
      </c>
    </row>
    <row r="152" spans="1:2" ht="12.75" customHeight="1">
      <c r="A152" s="137" t="s">
        <v>366</v>
      </c>
      <c r="B152" s="141" t="e">
        <f>t4yobgothr1</f>
        <v>#REF!</v>
      </c>
    </row>
    <row r="153" spans="1:2" ht="12.75" customHeight="1">
      <c r="A153" s="137" t="s">
        <v>367</v>
      </c>
      <c r="B153" s="141" t="e">
        <f>t4yobgothr2</f>
        <v>#REF!</v>
      </c>
    </row>
    <row r="154" spans="1:2" ht="12.75" customHeight="1">
      <c r="A154" s="137" t="s">
        <v>368</v>
      </c>
      <c r="B154" s="141" t="e">
        <f>t4yobgothr3</f>
        <v>#REF!</v>
      </c>
    </row>
    <row r="155" spans="1:2" ht="12.75" customHeight="1">
      <c r="A155" s="137" t="s">
        <v>369</v>
      </c>
      <c r="B155" s="141" t="e">
        <f>t4yobgtot</f>
        <v>#REF!</v>
      </c>
    </row>
    <row r="156" spans="1:2" ht="12.75" customHeight="1">
      <c r="A156" s="137" t="s">
        <v>370</v>
      </c>
      <c r="B156" s="141" t="e">
        <f>t4jjcpasal</f>
        <v>#REF!</v>
      </c>
    </row>
    <row r="157" spans="1:2" ht="12.75" customHeight="1">
      <c r="A157" s="137" t="s">
        <v>371</v>
      </c>
      <c r="B157" s="141" t="e">
        <f>t4jjcpaserv</f>
        <v>#REF!</v>
      </c>
    </row>
    <row r="158" spans="1:2" ht="12.75" customHeight="1">
      <c r="A158" s="137" t="s">
        <v>372</v>
      </c>
      <c r="B158" s="141" t="e">
        <f>t4jjcpaprof</f>
        <v>#REF!</v>
      </c>
    </row>
    <row r="159" spans="1:2" ht="12.75" customHeight="1">
      <c r="A159" s="137" t="s">
        <v>373</v>
      </c>
      <c r="B159" s="141" t="e">
        <f>t4jjcpacbo</f>
        <v>#REF!</v>
      </c>
    </row>
    <row r="160" spans="1:2" ht="12.75" customHeight="1">
      <c r="A160" s="137" t="s">
        <v>374</v>
      </c>
      <c r="B160" s="141" t="e">
        <f>t4jjcpaequip</f>
        <v>#REF!</v>
      </c>
    </row>
    <row r="161" spans="1:2" ht="12.75" customHeight="1">
      <c r="A161" s="137" t="s">
        <v>375</v>
      </c>
      <c r="B161" s="141" t="e">
        <f>t4jjcpaadmin</f>
        <v>#REF!</v>
      </c>
    </row>
    <row r="162" spans="1:2" ht="12.75" customHeight="1">
      <c r="A162" s="137" t="s">
        <v>376</v>
      </c>
      <c r="B162" s="141" t="e">
        <f>t4jjcpaothr1</f>
        <v>#REF!</v>
      </c>
    </row>
    <row r="163" spans="1:2" ht="12.75" customHeight="1">
      <c r="A163" s="137" t="s">
        <v>377</v>
      </c>
      <c r="B163" s="141" t="e">
        <f>t4jjcpaothr2</f>
        <v>#REF!</v>
      </c>
    </row>
    <row r="164" spans="1:2" ht="12.75" customHeight="1">
      <c r="A164" s="137" t="s">
        <v>378</v>
      </c>
      <c r="B164" s="141" t="e">
        <f>t4jjcpaothr3</f>
        <v>#REF!</v>
      </c>
    </row>
    <row r="165" spans="1:2" ht="12.75" customHeight="1">
      <c r="A165" s="137" t="s">
        <v>379</v>
      </c>
      <c r="B165" s="141" t="e">
        <f>t4jjcpatot</f>
        <v>#REF!</v>
      </c>
    </row>
    <row r="166" spans="1:2" ht="12.75" customHeight="1">
      <c r="A166" s="137" t="s">
        <v>380</v>
      </c>
      <c r="B166" s="141" t="e">
        <f>t4othersal</f>
        <v>#REF!</v>
      </c>
    </row>
    <row r="167" spans="1:2" ht="12.75" customHeight="1">
      <c r="A167" s="137" t="s">
        <v>381</v>
      </c>
      <c r="B167" s="141" t="e">
        <f>t4otherserv</f>
        <v>#REF!</v>
      </c>
    </row>
    <row r="168" spans="1:2" ht="12.75" customHeight="1">
      <c r="A168" s="137" t="s">
        <v>382</v>
      </c>
      <c r="B168" s="141" t="e">
        <f>t4otherprof</f>
        <v>#REF!</v>
      </c>
    </row>
    <row r="169" spans="1:2" ht="12.75" customHeight="1">
      <c r="A169" s="137" t="s">
        <v>383</v>
      </c>
      <c r="B169" s="141" t="e">
        <f>t4othercbo</f>
        <v>#REF!</v>
      </c>
    </row>
    <row r="170" spans="1:2" ht="12.75" customHeight="1">
      <c r="A170" s="137" t="s">
        <v>384</v>
      </c>
      <c r="B170" s="141" t="e">
        <f>t4otherequip</f>
        <v>#REF!</v>
      </c>
    </row>
    <row r="171" spans="1:2" ht="12.75" customHeight="1">
      <c r="A171" s="137" t="s">
        <v>385</v>
      </c>
      <c r="B171" s="141" t="e">
        <f>t4otheradmin</f>
        <v>#REF!</v>
      </c>
    </row>
    <row r="172" spans="1:2" ht="12.75" customHeight="1">
      <c r="A172" s="137" t="s">
        <v>386</v>
      </c>
      <c r="B172" s="141" t="e">
        <f>t4otherothr1</f>
        <v>#REF!</v>
      </c>
    </row>
    <row r="173" spans="1:2" ht="12.75" customHeight="1">
      <c r="A173" s="137" t="s">
        <v>387</v>
      </c>
      <c r="B173" s="141" t="e">
        <f>t4otherothr2</f>
        <v>#REF!</v>
      </c>
    </row>
    <row r="174" spans="1:2" ht="12.75" customHeight="1">
      <c r="A174" s="137" t="s">
        <v>388</v>
      </c>
      <c r="B174" s="141" t="e">
        <f>t4otherothr3</f>
        <v>#REF!</v>
      </c>
    </row>
    <row r="175" spans="1:2" ht="12.75" customHeight="1">
      <c r="A175" s="137" t="s">
        <v>389</v>
      </c>
      <c r="B175" s="141" t="e">
        <f>t4othertot</f>
        <v>#REF!</v>
      </c>
    </row>
    <row r="176" spans="1:2" ht="12.75" customHeight="1">
      <c r="A176" s="137" t="s">
        <v>390</v>
      </c>
      <c r="B176" s="139" t="e">
        <f>t4casecount</f>
        <v>#REF!</v>
      </c>
    </row>
    <row r="177" spans="1:2" ht="12.75" customHeight="1">
      <c r="A177" s="137" t="s">
        <v>391</v>
      </c>
      <c r="B177" s="142" t="e">
        <f>t4yobgpercap</f>
        <v>#REF!</v>
      </c>
    </row>
    <row r="178" spans="1:2" ht="12.75" customHeight="1">
      <c r="A178" s="137" t="s">
        <v>392</v>
      </c>
      <c r="B178" s="142" t="e">
        <f>t4totpercap</f>
        <v>#REF!</v>
      </c>
    </row>
    <row r="179" spans="1:2" ht="12.75" customHeight="1">
      <c r="A179" s="137" t="s">
        <v>393</v>
      </c>
      <c r="B179" s="139" t="e">
        <f>t4youth1</f>
        <v>#REF!</v>
      </c>
    </row>
    <row r="180" spans="1:2" ht="12.75" customHeight="1">
      <c r="A180" s="137" t="s">
        <v>394</v>
      </c>
      <c r="B180" s="139" t="e">
        <f>t4youth2</f>
        <v>#REF!</v>
      </c>
    </row>
    <row r="181" spans="1:2" ht="12.75" customHeight="1">
      <c r="A181" s="137" t="s">
        <v>395</v>
      </c>
      <c r="B181" s="139" t="e">
        <f>t4youth3</f>
        <v>#REF!</v>
      </c>
    </row>
    <row r="182" spans="1:2" ht="12.75" customHeight="1">
      <c r="A182" s="137" t="s">
        <v>396</v>
      </c>
      <c r="B182" s="139" t="e">
        <f>t4youth4</f>
        <v>#REF!</v>
      </c>
    </row>
    <row r="183" spans="1:2" ht="12.75" customHeight="1">
      <c r="A183" s="137" t="s">
        <v>397</v>
      </c>
      <c r="B183" s="139" t="e">
        <f>t4youth5</f>
        <v>#REF!</v>
      </c>
    </row>
    <row r="184" spans="1:2" ht="12.75" customHeight="1">
      <c r="A184" s="137" t="s">
        <v>398</v>
      </c>
      <c r="B184" s="139" t="e">
        <f>t4youth6</f>
        <v>#REF!</v>
      </c>
    </row>
    <row r="185" spans="1:2" ht="12.75" customHeight="1">
      <c r="A185" s="137" t="s">
        <v>399</v>
      </c>
      <c r="B185" s="137" t="e">
        <f>Numecodet5</f>
        <v>#REF!</v>
      </c>
    </row>
    <row r="186" spans="1:2" ht="12.75" customHeight="1">
      <c r="A186" s="137" t="s">
        <v>400</v>
      </c>
      <c r="B186" s="137" t="e">
        <f>Numealtt5</f>
        <v>#REF!</v>
      </c>
    </row>
    <row r="187" spans="1:2" ht="12.75" customHeight="1">
      <c r="A187" s="137" t="s">
        <v>401</v>
      </c>
      <c r="B187" s="141" t="e">
        <f>t5yobgsal</f>
        <v>#REF!</v>
      </c>
    </row>
    <row r="188" spans="1:2" ht="12.75" customHeight="1">
      <c r="A188" s="137" t="s">
        <v>402</v>
      </c>
      <c r="B188" s="141" t="e">
        <f>t5yobgserv</f>
        <v>#REF!</v>
      </c>
    </row>
    <row r="189" spans="1:2" ht="12.75" customHeight="1">
      <c r="A189" s="137" t="s">
        <v>403</v>
      </c>
      <c r="B189" s="141" t="e">
        <f>t5yobgprof</f>
        <v>#REF!</v>
      </c>
    </row>
    <row r="190" spans="1:2" ht="12.75" customHeight="1">
      <c r="A190" s="137" t="s">
        <v>404</v>
      </c>
      <c r="B190" s="141" t="e">
        <f>t5yobgcbo</f>
        <v>#REF!</v>
      </c>
    </row>
    <row r="191" spans="1:2" ht="12.75" customHeight="1">
      <c r="A191" s="137" t="s">
        <v>405</v>
      </c>
      <c r="B191" s="141" t="e">
        <f>t5yobgequip</f>
        <v>#REF!</v>
      </c>
    </row>
    <row r="192" spans="1:2" ht="12.75" customHeight="1">
      <c r="A192" s="137" t="s">
        <v>406</v>
      </c>
      <c r="B192" s="141" t="e">
        <f>t5yobgadmin</f>
        <v>#REF!</v>
      </c>
    </row>
    <row r="193" spans="1:2" ht="12.75" customHeight="1">
      <c r="A193" s="137" t="s">
        <v>407</v>
      </c>
      <c r="B193" s="141" t="e">
        <f>t5yobgothr1</f>
        <v>#REF!</v>
      </c>
    </row>
    <row r="194" spans="1:2" ht="12.75" customHeight="1">
      <c r="A194" s="137" t="s">
        <v>408</v>
      </c>
      <c r="B194" s="141" t="e">
        <f>t5yobgothr2</f>
        <v>#REF!</v>
      </c>
    </row>
    <row r="195" spans="1:2" ht="12.75" customHeight="1">
      <c r="A195" s="137" t="s">
        <v>409</v>
      </c>
      <c r="B195" s="141" t="e">
        <f>t5yobgothr3</f>
        <v>#REF!</v>
      </c>
    </row>
    <row r="196" spans="1:2" ht="12.75" customHeight="1">
      <c r="A196" s="137" t="s">
        <v>410</v>
      </c>
      <c r="B196" s="141" t="e">
        <f>t5yobgtot</f>
        <v>#REF!</v>
      </c>
    </row>
    <row r="197" spans="1:2" ht="12.75" customHeight="1">
      <c r="A197" s="137" t="s">
        <v>411</v>
      </c>
      <c r="B197" s="141" t="e">
        <f>t5jjcpasal</f>
        <v>#REF!</v>
      </c>
    </row>
    <row r="198" spans="1:2" ht="12.75" customHeight="1">
      <c r="A198" s="137" t="s">
        <v>412</v>
      </c>
      <c r="B198" s="141" t="e">
        <f>t5jjcpaserv</f>
        <v>#REF!</v>
      </c>
    </row>
    <row r="199" spans="1:2" ht="12.75" customHeight="1">
      <c r="A199" s="137" t="s">
        <v>413</v>
      </c>
      <c r="B199" s="141" t="e">
        <f>t5jjcpaprof</f>
        <v>#REF!</v>
      </c>
    </row>
    <row r="200" spans="1:2" ht="12.75" customHeight="1">
      <c r="A200" s="137" t="s">
        <v>414</v>
      </c>
      <c r="B200" s="141" t="e">
        <f>t5jjcpacbo</f>
        <v>#REF!</v>
      </c>
    </row>
    <row r="201" spans="1:2" ht="12.75" customHeight="1">
      <c r="A201" s="137" t="s">
        <v>415</v>
      </c>
      <c r="B201" s="141" t="e">
        <f>t5jjcpaequip</f>
        <v>#REF!</v>
      </c>
    </row>
    <row r="202" spans="1:2" ht="12.75" customHeight="1">
      <c r="A202" s="137" t="s">
        <v>416</v>
      </c>
      <c r="B202" s="141" t="e">
        <f>t5jjcpaadmin</f>
        <v>#REF!</v>
      </c>
    </row>
    <row r="203" spans="1:2" ht="12.75" customHeight="1">
      <c r="A203" s="137" t="s">
        <v>417</v>
      </c>
      <c r="B203" s="141" t="e">
        <f>t5jjcpaothr1</f>
        <v>#REF!</v>
      </c>
    </row>
    <row r="204" spans="1:2" ht="12.75" customHeight="1">
      <c r="A204" s="137" t="s">
        <v>418</v>
      </c>
      <c r="B204" s="141" t="e">
        <f>t5jjcpaothr2</f>
        <v>#REF!</v>
      </c>
    </row>
    <row r="205" spans="1:2" ht="12.75" customHeight="1">
      <c r="A205" s="137" t="s">
        <v>419</v>
      </c>
      <c r="B205" s="141" t="e">
        <f>t5jjcpaothr3</f>
        <v>#REF!</v>
      </c>
    </row>
    <row r="206" spans="1:2" ht="12.75" customHeight="1">
      <c r="A206" s="137" t="s">
        <v>420</v>
      </c>
      <c r="B206" s="141" t="e">
        <f>t5jjcpatot</f>
        <v>#REF!</v>
      </c>
    </row>
    <row r="207" spans="1:2" ht="12.75" customHeight="1">
      <c r="A207" s="137" t="s">
        <v>421</v>
      </c>
      <c r="B207" s="141" t="e">
        <f>t5othersal</f>
        <v>#REF!</v>
      </c>
    </row>
    <row r="208" spans="1:2" ht="12.75" customHeight="1">
      <c r="A208" s="137" t="s">
        <v>422</v>
      </c>
      <c r="B208" s="141" t="e">
        <f>t5otherserv</f>
        <v>#REF!</v>
      </c>
    </row>
    <row r="209" spans="1:2" ht="12.75" customHeight="1">
      <c r="A209" s="137" t="s">
        <v>423</v>
      </c>
      <c r="B209" s="141" t="e">
        <f>t5otherprof</f>
        <v>#REF!</v>
      </c>
    </row>
    <row r="210" spans="1:2" ht="12.75" customHeight="1">
      <c r="A210" s="137" t="s">
        <v>424</v>
      </c>
      <c r="B210" s="141" t="e">
        <f>t5othercbo</f>
        <v>#REF!</v>
      </c>
    </row>
    <row r="211" spans="1:2" ht="12.75" customHeight="1">
      <c r="A211" s="137" t="s">
        <v>425</v>
      </c>
      <c r="B211" s="141" t="e">
        <f>t5otherequip</f>
        <v>#REF!</v>
      </c>
    </row>
    <row r="212" spans="1:2" ht="12.75" customHeight="1">
      <c r="A212" s="137" t="s">
        <v>426</v>
      </c>
      <c r="B212" s="141" t="e">
        <f>t5otheradmin</f>
        <v>#REF!</v>
      </c>
    </row>
    <row r="213" spans="1:2" ht="12.75" customHeight="1">
      <c r="A213" s="137" t="s">
        <v>427</v>
      </c>
      <c r="B213" s="141" t="e">
        <f>t5otherothr1</f>
        <v>#REF!</v>
      </c>
    </row>
    <row r="214" spans="1:2" ht="12.75" customHeight="1">
      <c r="A214" s="137" t="s">
        <v>428</v>
      </c>
      <c r="B214" s="141" t="e">
        <f>t5otherothr2</f>
        <v>#REF!</v>
      </c>
    </row>
    <row r="215" spans="1:2" ht="12.75" customHeight="1">
      <c r="A215" s="137" t="s">
        <v>429</v>
      </c>
      <c r="B215" s="141" t="e">
        <f>t5otherothr3</f>
        <v>#REF!</v>
      </c>
    </row>
    <row r="216" spans="1:2" ht="12.75" customHeight="1">
      <c r="A216" s="137" t="s">
        <v>430</v>
      </c>
      <c r="B216" s="141" t="e">
        <f>t5othertot</f>
        <v>#REF!</v>
      </c>
    </row>
    <row r="217" spans="1:2" ht="12.75" customHeight="1">
      <c r="A217" s="137" t="s">
        <v>431</v>
      </c>
      <c r="B217" s="139" t="e">
        <f>t5casecount</f>
        <v>#REF!</v>
      </c>
    </row>
    <row r="218" spans="1:2" ht="12.75" customHeight="1">
      <c r="A218" s="137" t="s">
        <v>432</v>
      </c>
      <c r="B218" s="142" t="e">
        <f>t5yobgpercap</f>
        <v>#REF!</v>
      </c>
    </row>
    <row r="219" spans="1:2" ht="12.75" customHeight="1">
      <c r="A219" s="137" t="s">
        <v>433</v>
      </c>
      <c r="B219" s="142" t="e">
        <f>t5totpercap</f>
        <v>#REF!</v>
      </c>
    </row>
    <row r="220" spans="1:2" ht="12.75" customHeight="1">
      <c r="A220" s="137" t="s">
        <v>434</v>
      </c>
      <c r="B220" s="139" t="e">
        <f>t5youth1</f>
        <v>#REF!</v>
      </c>
    </row>
    <row r="221" spans="1:2" ht="12.75" customHeight="1">
      <c r="A221" s="137" t="s">
        <v>435</v>
      </c>
      <c r="B221" s="139" t="e">
        <f>t5youth2</f>
        <v>#REF!</v>
      </c>
    </row>
    <row r="222" spans="1:2" ht="12.75" customHeight="1">
      <c r="A222" s="137" t="s">
        <v>436</v>
      </c>
      <c r="B222" s="139" t="e">
        <f>t5youth3</f>
        <v>#REF!</v>
      </c>
    </row>
    <row r="223" spans="1:2" ht="12.75" customHeight="1">
      <c r="A223" s="137" t="s">
        <v>437</v>
      </c>
      <c r="B223" s="139" t="e">
        <f>t5youth4</f>
        <v>#REF!</v>
      </c>
    </row>
    <row r="224" spans="1:2" ht="12.75" customHeight="1">
      <c r="A224" s="137" t="s">
        <v>438</v>
      </c>
      <c r="B224" s="139" t="e">
        <f>t5youth5</f>
        <v>#REF!</v>
      </c>
    </row>
    <row r="225" spans="1:2" ht="12.75" customHeight="1">
      <c r="A225" s="137" t="s">
        <v>439</v>
      </c>
      <c r="B225" s="139"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37" t="s">
        <v>215</v>
      </c>
      <c r="B1" s="16" t="str">
        <f>County</f>
        <v>Yolo</v>
      </c>
    </row>
    <row r="2" spans="1:2" ht="12.75" customHeight="1">
      <c r="A2" s="137" t="s">
        <v>440</v>
      </c>
      <c r="B2" s="137" t="e">
        <f>Numecodet6</f>
        <v>#REF!</v>
      </c>
    </row>
    <row r="3" spans="1:2" ht="12.75" customHeight="1">
      <c r="A3" s="137" t="s">
        <v>441</v>
      </c>
      <c r="B3" s="137" t="e">
        <f>Numealtt6</f>
        <v>#REF!</v>
      </c>
    </row>
    <row r="4" spans="1:2" ht="12.75" customHeight="1">
      <c r="A4" s="137" t="s">
        <v>442</v>
      </c>
      <c r="B4" s="141" t="e">
        <f>t6yobgsal</f>
        <v>#REF!</v>
      </c>
    </row>
    <row r="5" spans="1:2" ht="12.75" customHeight="1">
      <c r="A5" s="137" t="s">
        <v>443</v>
      </c>
      <c r="B5" s="141" t="e">
        <f>t6yobgserv</f>
        <v>#REF!</v>
      </c>
    </row>
    <row r="6" spans="1:2" ht="12.75" customHeight="1">
      <c r="A6" s="137" t="s">
        <v>444</v>
      </c>
      <c r="B6" s="141" t="e">
        <f>t6yobgprof</f>
        <v>#REF!</v>
      </c>
    </row>
    <row r="7" spans="1:2" ht="12.75" customHeight="1">
      <c r="A7" s="137" t="s">
        <v>445</v>
      </c>
      <c r="B7" s="141" t="e">
        <f>t6yobgcbo</f>
        <v>#REF!</v>
      </c>
    </row>
    <row r="8" spans="1:2" ht="12.75" customHeight="1">
      <c r="A8" s="137" t="s">
        <v>446</v>
      </c>
      <c r="B8" s="141" t="e">
        <f>t6yobgequip</f>
        <v>#REF!</v>
      </c>
    </row>
    <row r="9" spans="1:2" ht="12.75" customHeight="1">
      <c r="A9" s="137" t="s">
        <v>447</v>
      </c>
      <c r="B9" s="141" t="e">
        <f>t6yobgadmin</f>
        <v>#REF!</v>
      </c>
    </row>
    <row r="10" spans="1:2" ht="12.75" customHeight="1">
      <c r="A10" s="137" t="s">
        <v>448</v>
      </c>
      <c r="B10" s="141" t="e">
        <f>t6yobgothr1</f>
        <v>#REF!</v>
      </c>
    </row>
    <row r="11" spans="1:2" ht="12.75" customHeight="1">
      <c r="A11" s="137" t="s">
        <v>449</v>
      </c>
      <c r="B11" s="141" t="e">
        <f>t6yobgothr2</f>
        <v>#REF!</v>
      </c>
    </row>
    <row r="12" spans="1:2" ht="12.75" customHeight="1">
      <c r="A12" s="137" t="s">
        <v>450</v>
      </c>
      <c r="B12" s="141" t="e">
        <f>t6yobgothr3</f>
        <v>#REF!</v>
      </c>
    </row>
    <row r="13" spans="1:2" ht="12.75" customHeight="1">
      <c r="A13" s="137" t="s">
        <v>451</v>
      </c>
      <c r="B13" s="141" t="e">
        <f>t6yobgtot</f>
        <v>#REF!</v>
      </c>
    </row>
    <row r="14" spans="1:2" ht="12.75" customHeight="1">
      <c r="A14" s="137" t="s">
        <v>452</v>
      </c>
      <c r="B14" s="141" t="e">
        <f>t6jjcpasal</f>
        <v>#REF!</v>
      </c>
    </row>
    <row r="15" spans="1:2" ht="12.75" customHeight="1">
      <c r="A15" s="137" t="s">
        <v>453</v>
      </c>
      <c r="B15" s="141" t="e">
        <f>t6jjcpaserv</f>
        <v>#REF!</v>
      </c>
    </row>
    <row r="16" spans="1:2" ht="12.75" customHeight="1">
      <c r="A16" s="137" t="s">
        <v>454</v>
      </c>
      <c r="B16" s="141" t="e">
        <f>t6jjcpaprof</f>
        <v>#REF!</v>
      </c>
    </row>
    <row r="17" spans="1:2" ht="12.75" customHeight="1">
      <c r="A17" s="137" t="s">
        <v>455</v>
      </c>
      <c r="B17" s="141" t="e">
        <f>t6jjcpacbo</f>
        <v>#REF!</v>
      </c>
    </row>
    <row r="18" spans="1:2" ht="12.75" customHeight="1">
      <c r="A18" s="137" t="s">
        <v>456</v>
      </c>
      <c r="B18" s="141" t="e">
        <f>t6jjcpaequip</f>
        <v>#REF!</v>
      </c>
    </row>
    <row r="19" spans="1:2" ht="12.75" customHeight="1">
      <c r="A19" s="137" t="s">
        <v>457</v>
      </c>
      <c r="B19" s="141" t="e">
        <f>t6jjcpaadmin</f>
        <v>#REF!</v>
      </c>
    </row>
    <row r="20" spans="1:2" ht="12.75" customHeight="1">
      <c r="A20" s="137" t="s">
        <v>458</v>
      </c>
      <c r="B20" s="141" t="e">
        <f>t6jjcpaothr1</f>
        <v>#REF!</v>
      </c>
    </row>
    <row r="21" spans="1:2" ht="12.75" customHeight="1">
      <c r="A21" s="137" t="s">
        <v>459</v>
      </c>
      <c r="B21" s="141" t="e">
        <f>t6jjcpaothr2</f>
        <v>#REF!</v>
      </c>
    </row>
    <row r="22" spans="1:2" ht="12.75" customHeight="1">
      <c r="A22" s="137" t="s">
        <v>460</v>
      </c>
      <c r="B22" s="141" t="e">
        <f>t6jjcpaothr3</f>
        <v>#REF!</v>
      </c>
    </row>
    <row r="23" spans="1:2" ht="12.75" customHeight="1">
      <c r="A23" s="137" t="s">
        <v>461</v>
      </c>
      <c r="B23" s="141" t="e">
        <f>t6jjcpatot</f>
        <v>#REF!</v>
      </c>
    </row>
    <row r="24" spans="1:2" ht="12.75" customHeight="1">
      <c r="A24" s="137" t="s">
        <v>462</v>
      </c>
      <c r="B24" s="141" t="e">
        <f>t6othersal</f>
        <v>#REF!</v>
      </c>
    </row>
    <row r="25" spans="1:2" ht="12.75" customHeight="1">
      <c r="A25" s="137" t="s">
        <v>463</v>
      </c>
      <c r="B25" s="141" t="e">
        <f>t6otherserv</f>
        <v>#REF!</v>
      </c>
    </row>
    <row r="26" spans="1:2" ht="12.75" customHeight="1">
      <c r="A26" s="137" t="s">
        <v>464</v>
      </c>
      <c r="B26" s="141" t="e">
        <f>t6otherprof</f>
        <v>#REF!</v>
      </c>
    </row>
    <row r="27" spans="1:2" ht="12.75" customHeight="1">
      <c r="A27" s="137" t="s">
        <v>465</v>
      </c>
      <c r="B27" s="141" t="e">
        <f>t6othercbo</f>
        <v>#REF!</v>
      </c>
    </row>
    <row r="28" spans="1:2" ht="12.75" customHeight="1">
      <c r="A28" s="137" t="s">
        <v>466</v>
      </c>
      <c r="B28" s="141" t="e">
        <f>t6otherequip</f>
        <v>#REF!</v>
      </c>
    </row>
    <row r="29" spans="1:2" ht="12.75" customHeight="1">
      <c r="A29" s="137" t="s">
        <v>467</v>
      </c>
      <c r="B29" s="141" t="e">
        <f>t6otheradmin</f>
        <v>#REF!</v>
      </c>
    </row>
    <row r="30" spans="1:2" ht="12.75" customHeight="1">
      <c r="A30" s="137" t="s">
        <v>468</v>
      </c>
      <c r="B30" s="141" t="e">
        <f>t6otherothr1</f>
        <v>#REF!</v>
      </c>
    </row>
    <row r="31" spans="1:2" ht="12.75" customHeight="1">
      <c r="A31" s="137" t="s">
        <v>469</v>
      </c>
      <c r="B31" s="141" t="e">
        <f>t6otherothr2</f>
        <v>#REF!</v>
      </c>
    </row>
    <row r="32" spans="1:2" ht="12.75" customHeight="1">
      <c r="A32" s="137" t="s">
        <v>470</v>
      </c>
      <c r="B32" s="141" t="e">
        <f>t6otherothr3</f>
        <v>#REF!</v>
      </c>
    </row>
    <row r="33" spans="1:2" ht="12.75" customHeight="1">
      <c r="A33" s="137" t="s">
        <v>471</v>
      </c>
      <c r="B33" s="141" t="e">
        <f>t6othertot</f>
        <v>#REF!</v>
      </c>
    </row>
    <row r="34" spans="1:2" ht="12.75" customHeight="1">
      <c r="A34" s="137" t="s">
        <v>472</v>
      </c>
      <c r="B34" s="139" t="e">
        <f>t6casecount</f>
        <v>#REF!</v>
      </c>
    </row>
    <row r="35" spans="1:2" ht="12.75" customHeight="1">
      <c r="A35" s="137" t="s">
        <v>473</v>
      </c>
      <c r="B35" s="142" t="e">
        <f>t6yobgpercap</f>
        <v>#REF!</v>
      </c>
    </row>
    <row r="36" spans="1:2" ht="12.75" customHeight="1">
      <c r="A36" s="137" t="s">
        <v>474</v>
      </c>
      <c r="B36" s="142" t="e">
        <f>t6totpercap</f>
        <v>#REF!</v>
      </c>
    </row>
    <row r="37" spans="1:2" ht="12.75" customHeight="1">
      <c r="A37" s="137" t="s">
        <v>475</v>
      </c>
      <c r="B37" s="139" t="e">
        <f>t6youth1</f>
        <v>#REF!</v>
      </c>
    </row>
    <row r="38" spans="1:2" ht="12.75" customHeight="1">
      <c r="A38" s="137" t="s">
        <v>476</v>
      </c>
      <c r="B38" s="139" t="e">
        <f>t6youth2</f>
        <v>#REF!</v>
      </c>
    </row>
    <row r="39" spans="1:2" ht="12.75" customHeight="1">
      <c r="A39" s="137" t="s">
        <v>477</v>
      </c>
      <c r="B39" s="139" t="e">
        <f>t6youth3</f>
        <v>#REF!</v>
      </c>
    </row>
    <row r="40" spans="1:2" ht="12.75" customHeight="1">
      <c r="A40" s="137" t="s">
        <v>478</v>
      </c>
      <c r="B40" s="139" t="e">
        <f>t6youth4</f>
        <v>#REF!</v>
      </c>
    </row>
    <row r="41" spans="1:2" ht="12.75" customHeight="1">
      <c r="A41" s="137" t="s">
        <v>479</v>
      </c>
      <c r="B41" s="139" t="e">
        <f>t6youth5</f>
        <v>#REF!</v>
      </c>
    </row>
    <row r="42" spans="1:2" ht="12.75" customHeight="1">
      <c r="A42" s="137" t="s">
        <v>480</v>
      </c>
      <c r="B42" s="139" t="e">
        <f>t6youth6</f>
        <v>#REF!</v>
      </c>
    </row>
    <row r="43" spans="1:2" ht="12.75" customHeight="1">
      <c r="A43" s="137" t="s">
        <v>481</v>
      </c>
      <c r="B43" s="137" t="e">
        <f>Numecodet7</f>
        <v>#REF!</v>
      </c>
    </row>
    <row r="44" spans="1:2" ht="12.75" customHeight="1">
      <c r="A44" s="137" t="s">
        <v>482</v>
      </c>
      <c r="B44" s="137" t="e">
        <f>Numealtt7</f>
        <v>#REF!</v>
      </c>
    </row>
    <row r="45" spans="1:2" ht="12.75" customHeight="1">
      <c r="A45" s="137" t="s">
        <v>483</v>
      </c>
      <c r="B45" s="141" t="e">
        <f>t7yobgsal</f>
        <v>#REF!</v>
      </c>
    </row>
    <row r="46" spans="1:2" ht="12.75" customHeight="1">
      <c r="A46" s="137" t="s">
        <v>484</v>
      </c>
      <c r="B46" s="141" t="e">
        <f>t7yobgserv</f>
        <v>#REF!</v>
      </c>
    </row>
    <row r="47" spans="1:2" ht="12.75" customHeight="1">
      <c r="A47" s="137" t="s">
        <v>485</v>
      </c>
      <c r="B47" s="141" t="e">
        <f>t7yobgprof</f>
        <v>#REF!</v>
      </c>
    </row>
    <row r="48" spans="1:2" ht="12.75" customHeight="1">
      <c r="A48" s="137" t="s">
        <v>486</v>
      </c>
      <c r="B48" s="141" t="e">
        <f>t7yobgcbo</f>
        <v>#REF!</v>
      </c>
    </row>
    <row r="49" spans="1:2" ht="12.75" customHeight="1">
      <c r="A49" s="137" t="s">
        <v>487</v>
      </c>
      <c r="B49" s="141" t="e">
        <f>t7yobgequip</f>
        <v>#REF!</v>
      </c>
    </row>
    <row r="50" spans="1:2" ht="12.75" customHeight="1">
      <c r="A50" s="137" t="s">
        <v>488</v>
      </c>
      <c r="B50" s="141" t="e">
        <f>t7yobgadmin</f>
        <v>#REF!</v>
      </c>
    </row>
    <row r="51" spans="1:2" ht="12.75" customHeight="1">
      <c r="A51" s="137" t="s">
        <v>489</v>
      </c>
      <c r="B51" s="141" t="e">
        <f>t7yobgothr1</f>
        <v>#REF!</v>
      </c>
    </row>
    <row r="52" spans="1:2" ht="12.75" customHeight="1">
      <c r="A52" s="137" t="s">
        <v>490</v>
      </c>
      <c r="B52" s="141" t="e">
        <f>t7yobgothr2</f>
        <v>#REF!</v>
      </c>
    </row>
    <row r="53" spans="1:2" ht="12.75" customHeight="1">
      <c r="A53" s="137" t="s">
        <v>491</v>
      </c>
      <c r="B53" s="141" t="e">
        <f>t7yobgothr3</f>
        <v>#REF!</v>
      </c>
    </row>
    <row r="54" spans="1:2" ht="12.75" customHeight="1">
      <c r="A54" s="137" t="s">
        <v>492</v>
      </c>
      <c r="B54" s="141" t="e">
        <f>t7yobgtot</f>
        <v>#REF!</v>
      </c>
    </row>
    <row r="55" spans="1:2" ht="12.75" customHeight="1">
      <c r="A55" s="137" t="s">
        <v>493</v>
      </c>
      <c r="B55" s="141" t="e">
        <f>t7jjcpasal</f>
        <v>#REF!</v>
      </c>
    </row>
    <row r="56" spans="1:2" ht="12.75" customHeight="1">
      <c r="A56" s="137" t="s">
        <v>494</v>
      </c>
      <c r="B56" s="141" t="e">
        <f>t7jjcpaserv</f>
        <v>#REF!</v>
      </c>
    </row>
    <row r="57" spans="1:2" ht="12.75" customHeight="1">
      <c r="A57" s="137" t="s">
        <v>495</v>
      </c>
      <c r="B57" s="141" t="e">
        <f>t7jjcpaprof</f>
        <v>#REF!</v>
      </c>
    </row>
    <row r="58" spans="1:2" ht="12.75" customHeight="1">
      <c r="A58" s="137" t="s">
        <v>496</v>
      </c>
      <c r="B58" s="141" t="e">
        <f>t7jjcpacbo</f>
        <v>#REF!</v>
      </c>
    </row>
    <row r="59" spans="1:2" ht="12.75" customHeight="1">
      <c r="A59" s="137" t="s">
        <v>497</v>
      </c>
      <c r="B59" s="141" t="e">
        <f>t7jjcpaequip</f>
        <v>#REF!</v>
      </c>
    </row>
    <row r="60" spans="1:2" ht="12.75" customHeight="1">
      <c r="A60" s="137" t="s">
        <v>498</v>
      </c>
      <c r="B60" s="141" t="e">
        <f>t7jjcpaadmin</f>
        <v>#REF!</v>
      </c>
    </row>
    <row r="61" spans="1:2" ht="12.75" customHeight="1">
      <c r="A61" s="137" t="s">
        <v>499</v>
      </c>
      <c r="B61" s="141" t="e">
        <f>t7jjcpaothr1</f>
        <v>#REF!</v>
      </c>
    </row>
    <row r="62" spans="1:2" ht="12.75" customHeight="1">
      <c r="A62" s="137" t="s">
        <v>500</v>
      </c>
      <c r="B62" s="141" t="e">
        <f>t7jjcpaothr2</f>
        <v>#REF!</v>
      </c>
    </row>
    <row r="63" spans="1:2" ht="12.75" customHeight="1">
      <c r="A63" s="137" t="s">
        <v>501</v>
      </c>
      <c r="B63" s="141" t="e">
        <f>t7jjcpaothr3</f>
        <v>#REF!</v>
      </c>
    </row>
    <row r="64" spans="1:2" ht="12.75" customHeight="1">
      <c r="A64" s="137" t="s">
        <v>502</v>
      </c>
      <c r="B64" s="141" t="e">
        <f>t7jjcpatot</f>
        <v>#REF!</v>
      </c>
    </row>
    <row r="65" spans="1:2" ht="12.75" customHeight="1">
      <c r="A65" s="137" t="s">
        <v>503</v>
      </c>
      <c r="B65" s="141" t="e">
        <f>t7othersal</f>
        <v>#REF!</v>
      </c>
    </row>
    <row r="66" spans="1:2" ht="12.75" customHeight="1">
      <c r="A66" s="137" t="s">
        <v>504</v>
      </c>
      <c r="B66" s="141" t="e">
        <f>t7otherserv</f>
        <v>#REF!</v>
      </c>
    </row>
    <row r="67" spans="1:2" ht="12.75" customHeight="1">
      <c r="A67" s="137" t="s">
        <v>505</v>
      </c>
      <c r="B67" s="141" t="e">
        <f>t7otherprof</f>
        <v>#REF!</v>
      </c>
    </row>
    <row r="68" spans="1:2" ht="12.75" customHeight="1">
      <c r="A68" s="137" t="s">
        <v>506</v>
      </c>
      <c r="B68" s="141" t="e">
        <f>t7othercbo</f>
        <v>#REF!</v>
      </c>
    </row>
    <row r="69" spans="1:2" ht="12.75" customHeight="1">
      <c r="A69" s="137" t="s">
        <v>507</v>
      </c>
      <c r="B69" s="141" t="e">
        <f>t7otherequip</f>
        <v>#REF!</v>
      </c>
    </row>
    <row r="70" spans="1:2" ht="12.75" customHeight="1">
      <c r="A70" s="137" t="s">
        <v>508</v>
      </c>
      <c r="B70" s="141" t="e">
        <f>t7otheradmin</f>
        <v>#REF!</v>
      </c>
    </row>
    <row r="71" spans="1:2" ht="12.75" customHeight="1">
      <c r="A71" s="137" t="s">
        <v>509</v>
      </c>
      <c r="B71" s="141" t="e">
        <f>t7otherothr1</f>
        <v>#REF!</v>
      </c>
    </row>
    <row r="72" spans="1:2" ht="12.75" customHeight="1">
      <c r="A72" s="137" t="s">
        <v>510</v>
      </c>
      <c r="B72" s="141" t="e">
        <f>t7otherothr2</f>
        <v>#REF!</v>
      </c>
    </row>
    <row r="73" spans="1:2" ht="12.75" customHeight="1">
      <c r="A73" s="137" t="s">
        <v>511</v>
      </c>
      <c r="B73" s="141" t="e">
        <f>t7otherothr3</f>
        <v>#REF!</v>
      </c>
    </row>
    <row r="74" spans="1:2" ht="12.75" customHeight="1">
      <c r="A74" s="137" t="s">
        <v>512</v>
      </c>
      <c r="B74" s="141" t="e">
        <f>t7othertot</f>
        <v>#REF!</v>
      </c>
    </row>
    <row r="75" spans="1:2" ht="12.75" customHeight="1">
      <c r="A75" s="137" t="s">
        <v>513</v>
      </c>
      <c r="B75" s="139" t="e">
        <f>t7casecount</f>
        <v>#REF!</v>
      </c>
    </row>
    <row r="76" spans="1:2" ht="12.75" customHeight="1">
      <c r="A76" s="137" t="s">
        <v>514</v>
      </c>
      <c r="B76" s="142" t="e">
        <f>t7yobgpercap</f>
        <v>#REF!</v>
      </c>
    </row>
    <row r="77" spans="1:2" ht="12.75" customHeight="1">
      <c r="A77" s="137" t="s">
        <v>515</v>
      </c>
      <c r="B77" s="142" t="e">
        <f>t7totpercap</f>
        <v>#REF!</v>
      </c>
    </row>
    <row r="78" spans="1:2" ht="12.75" customHeight="1">
      <c r="A78" s="137" t="s">
        <v>516</v>
      </c>
      <c r="B78" s="139" t="e">
        <f>t7youth1</f>
        <v>#REF!</v>
      </c>
    </row>
    <row r="79" spans="1:2" ht="12.75" customHeight="1">
      <c r="A79" s="137" t="s">
        <v>517</v>
      </c>
      <c r="B79" s="139" t="e">
        <f>t7youth2</f>
        <v>#REF!</v>
      </c>
    </row>
    <row r="80" spans="1:2" ht="12.75" customHeight="1">
      <c r="A80" s="137" t="s">
        <v>518</v>
      </c>
      <c r="B80" s="139" t="e">
        <f>t7youth3</f>
        <v>#REF!</v>
      </c>
    </row>
    <row r="81" spans="1:2" ht="12.75" customHeight="1">
      <c r="A81" s="137" t="s">
        <v>519</v>
      </c>
      <c r="B81" s="139" t="e">
        <f>t7youth4</f>
        <v>#REF!</v>
      </c>
    </row>
    <row r="82" spans="1:2" ht="12.75" customHeight="1">
      <c r="A82" s="137" t="s">
        <v>520</v>
      </c>
      <c r="B82" s="139" t="e">
        <f>t7youth5</f>
        <v>#REF!</v>
      </c>
    </row>
    <row r="83" spans="1:2" ht="12.75" customHeight="1">
      <c r="A83" s="137" t="s">
        <v>521</v>
      </c>
      <c r="B83" s="139" t="e">
        <f>t7youth6</f>
        <v>#REF!</v>
      </c>
    </row>
    <row r="84" spans="1:2" ht="12.75" customHeight="1">
      <c r="A84" s="137" t="s">
        <v>522</v>
      </c>
      <c r="B84" s="137" t="e">
        <f>Numecodet8</f>
        <v>#REF!</v>
      </c>
    </row>
    <row r="85" spans="1:2" ht="12.75" customHeight="1">
      <c r="A85" s="137" t="s">
        <v>523</v>
      </c>
      <c r="B85" s="137" t="e">
        <f>Numealtt8</f>
        <v>#REF!</v>
      </c>
    </row>
    <row r="86" spans="1:2" ht="12.75" customHeight="1">
      <c r="A86" s="137" t="s">
        <v>524</v>
      </c>
      <c r="B86" s="141" t="e">
        <f>t8yobgsal</f>
        <v>#REF!</v>
      </c>
    </row>
    <row r="87" spans="1:2" ht="12.75" customHeight="1">
      <c r="A87" s="137" t="s">
        <v>525</v>
      </c>
      <c r="B87" s="141" t="e">
        <f>t8yobgserv</f>
        <v>#REF!</v>
      </c>
    </row>
    <row r="88" spans="1:2" ht="12.75" customHeight="1">
      <c r="A88" s="137" t="s">
        <v>526</v>
      </c>
      <c r="B88" s="141" t="e">
        <f>t8yobgprof</f>
        <v>#REF!</v>
      </c>
    </row>
    <row r="89" spans="1:2" ht="12.75" customHeight="1">
      <c r="A89" s="137" t="s">
        <v>527</v>
      </c>
      <c r="B89" s="141" t="e">
        <f>t8yobgcbo</f>
        <v>#REF!</v>
      </c>
    </row>
    <row r="90" spans="1:2" ht="12.75" customHeight="1">
      <c r="A90" s="137" t="s">
        <v>528</v>
      </c>
      <c r="B90" s="141" t="e">
        <f>t8yobgequip</f>
        <v>#REF!</v>
      </c>
    </row>
    <row r="91" spans="1:2" ht="12.75" customHeight="1">
      <c r="A91" s="137" t="s">
        <v>529</v>
      </c>
      <c r="B91" s="141" t="e">
        <f>t8yobgadmin</f>
        <v>#REF!</v>
      </c>
    </row>
    <row r="92" spans="1:2" ht="12.75" customHeight="1">
      <c r="A92" s="137" t="s">
        <v>530</v>
      </c>
      <c r="B92" s="141" t="e">
        <f>t8yobgothr1</f>
        <v>#REF!</v>
      </c>
    </row>
    <row r="93" spans="1:2" ht="12.75" customHeight="1">
      <c r="A93" s="137" t="s">
        <v>531</v>
      </c>
      <c r="B93" s="141" t="e">
        <f>t8yobgothr2</f>
        <v>#REF!</v>
      </c>
    </row>
    <row r="94" spans="1:2" ht="12.75" customHeight="1">
      <c r="A94" s="137" t="s">
        <v>532</v>
      </c>
      <c r="B94" s="141" t="e">
        <f>t8yobgothr3</f>
        <v>#REF!</v>
      </c>
    </row>
    <row r="95" spans="1:2" ht="12.75" customHeight="1">
      <c r="A95" s="137" t="s">
        <v>533</v>
      </c>
      <c r="B95" s="141" t="e">
        <f>t8yobgtot</f>
        <v>#REF!</v>
      </c>
    </row>
    <row r="96" spans="1:2" ht="12.75" customHeight="1">
      <c r="A96" s="137" t="s">
        <v>534</v>
      </c>
      <c r="B96" s="141" t="e">
        <f>t8jjcpasal</f>
        <v>#REF!</v>
      </c>
    </row>
    <row r="97" spans="1:2" ht="12.75" customHeight="1">
      <c r="A97" s="137" t="s">
        <v>535</v>
      </c>
      <c r="B97" s="141" t="e">
        <f>t8jjcpaserv</f>
        <v>#REF!</v>
      </c>
    </row>
    <row r="98" spans="1:2" ht="12.75" customHeight="1">
      <c r="A98" s="137" t="s">
        <v>536</v>
      </c>
      <c r="B98" s="141" t="e">
        <f>t8jjcpaprof</f>
        <v>#REF!</v>
      </c>
    </row>
    <row r="99" spans="1:2" ht="12.75" customHeight="1">
      <c r="A99" s="137" t="s">
        <v>537</v>
      </c>
      <c r="B99" s="141" t="e">
        <f>t8jjcpacbo</f>
        <v>#REF!</v>
      </c>
    </row>
    <row r="100" spans="1:2" ht="12.75" customHeight="1">
      <c r="A100" s="137" t="s">
        <v>538</v>
      </c>
      <c r="B100" s="141" t="e">
        <f>t8jjcpaequip</f>
        <v>#REF!</v>
      </c>
    </row>
    <row r="101" spans="1:2" ht="12.75" customHeight="1">
      <c r="A101" s="137" t="s">
        <v>539</v>
      </c>
      <c r="B101" s="141" t="e">
        <f>t8jjcpaadmin</f>
        <v>#REF!</v>
      </c>
    </row>
    <row r="102" spans="1:2" ht="12.75" customHeight="1">
      <c r="A102" s="137" t="s">
        <v>540</v>
      </c>
      <c r="B102" s="141" t="e">
        <f>t8jjcpaothr1</f>
        <v>#REF!</v>
      </c>
    </row>
    <row r="103" spans="1:2" ht="12.75" customHeight="1">
      <c r="A103" s="137" t="s">
        <v>541</v>
      </c>
      <c r="B103" s="141" t="e">
        <f>t8jjcpaothr2</f>
        <v>#REF!</v>
      </c>
    </row>
    <row r="104" spans="1:2" ht="12.75" customHeight="1">
      <c r="A104" s="137" t="s">
        <v>542</v>
      </c>
      <c r="B104" s="141" t="e">
        <f>t8jjcpaothr3</f>
        <v>#REF!</v>
      </c>
    </row>
    <row r="105" spans="1:2" ht="12.75" customHeight="1">
      <c r="A105" s="137" t="s">
        <v>543</v>
      </c>
      <c r="B105" s="141" t="e">
        <f>t8jjcpatot</f>
        <v>#REF!</v>
      </c>
    </row>
    <row r="106" spans="1:2" ht="12.75" customHeight="1">
      <c r="A106" s="137" t="s">
        <v>544</v>
      </c>
      <c r="B106" s="141" t="e">
        <f>t8othersal</f>
        <v>#REF!</v>
      </c>
    </row>
    <row r="107" spans="1:2" ht="12.75" customHeight="1">
      <c r="A107" s="137" t="s">
        <v>545</v>
      </c>
      <c r="B107" s="141" t="e">
        <f>t8otherserv</f>
        <v>#REF!</v>
      </c>
    </row>
    <row r="108" spans="1:2" ht="12.75" customHeight="1">
      <c r="A108" s="137" t="s">
        <v>546</v>
      </c>
      <c r="B108" s="141" t="e">
        <f>t8otherprof</f>
        <v>#REF!</v>
      </c>
    </row>
    <row r="109" spans="1:2" ht="12.75" customHeight="1">
      <c r="A109" s="137" t="s">
        <v>547</v>
      </c>
      <c r="B109" s="141" t="e">
        <f>t8othercbo</f>
        <v>#REF!</v>
      </c>
    </row>
    <row r="110" spans="1:2" ht="12.75" customHeight="1">
      <c r="A110" s="137" t="s">
        <v>548</v>
      </c>
      <c r="B110" s="141" t="e">
        <f>t8otherequip</f>
        <v>#REF!</v>
      </c>
    </row>
    <row r="111" spans="1:2" ht="12.75" customHeight="1">
      <c r="A111" s="137" t="s">
        <v>549</v>
      </c>
      <c r="B111" s="141" t="e">
        <f>t8otheradmin</f>
        <v>#REF!</v>
      </c>
    </row>
    <row r="112" spans="1:2" ht="12.75" customHeight="1">
      <c r="A112" s="137" t="s">
        <v>550</v>
      </c>
      <c r="B112" s="141" t="e">
        <f>t8otherothr1</f>
        <v>#REF!</v>
      </c>
    </row>
    <row r="113" spans="1:2" ht="12.75" customHeight="1">
      <c r="A113" s="137" t="s">
        <v>551</v>
      </c>
      <c r="B113" s="141" t="e">
        <f>t8otherothr2</f>
        <v>#REF!</v>
      </c>
    </row>
    <row r="114" spans="1:2" ht="12.75" customHeight="1">
      <c r="A114" s="137" t="s">
        <v>552</v>
      </c>
      <c r="B114" s="141" t="e">
        <f>t8otherothr3</f>
        <v>#REF!</v>
      </c>
    </row>
    <row r="115" spans="1:2" ht="12.75" customHeight="1">
      <c r="A115" s="137" t="s">
        <v>553</v>
      </c>
      <c r="B115" s="141" t="e">
        <f>t8othertot</f>
        <v>#REF!</v>
      </c>
    </row>
    <row r="116" spans="1:2" ht="12.75" customHeight="1">
      <c r="A116" s="137" t="s">
        <v>554</v>
      </c>
      <c r="B116" s="139" t="e">
        <f>t8casecount</f>
        <v>#REF!</v>
      </c>
    </row>
    <row r="117" spans="1:2" ht="12.75" customHeight="1">
      <c r="A117" s="137" t="s">
        <v>555</v>
      </c>
      <c r="B117" s="142" t="e">
        <f>t8yobgpercap</f>
        <v>#REF!</v>
      </c>
    </row>
    <row r="118" spans="1:2" ht="12.75" customHeight="1">
      <c r="A118" s="137" t="s">
        <v>556</v>
      </c>
      <c r="B118" s="142" t="e">
        <f>t8totpercap</f>
        <v>#REF!</v>
      </c>
    </row>
    <row r="119" spans="1:2" ht="12.75" customHeight="1">
      <c r="A119" s="137" t="s">
        <v>557</v>
      </c>
      <c r="B119" s="139" t="e">
        <f>t8youth1</f>
        <v>#REF!</v>
      </c>
    </row>
    <row r="120" spans="1:2" ht="12.75" customHeight="1">
      <c r="A120" s="137" t="s">
        <v>558</v>
      </c>
      <c r="B120" s="139" t="e">
        <f>t8youth2</f>
        <v>#REF!</v>
      </c>
    </row>
    <row r="121" spans="1:2" ht="12.75" customHeight="1">
      <c r="A121" s="137" t="s">
        <v>559</v>
      </c>
      <c r="B121" s="139" t="e">
        <f>t8youth3</f>
        <v>#REF!</v>
      </c>
    </row>
    <row r="122" spans="1:2" ht="12.75" customHeight="1">
      <c r="A122" s="137" t="s">
        <v>560</v>
      </c>
      <c r="B122" s="139" t="e">
        <f>t8youth4</f>
        <v>#REF!</v>
      </c>
    </row>
    <row r="123" spans="1:2" ht="12.75" customHeight="1">
      <c r="A123" s="137" t="s">
        <v>561</v>
      </c>
      <c r="B123" s="139" t="e">
        <f>t8youth5</f>
        <v>#REF!</v>
      </c>
    </row>
    <row r="124" spans="1:2" ht="12.75" customHeight="1">
      <c r="A124" s="137" t="s">
        <v>562</v>
      </c>
      <c r="B124" s="139" t="e">
        <f>t8youth6</f>
        <v>#REF!</v>
      </c>
    </row>
    <row r="125" spans="1:2" ht="12.75" customHeight="1">
      <c r="A125" s="137" t="s">
        <v>563</v>
      </c>
      <c r="B125" s="137" t="e">
        <f>Numecodet9</f>
        <v>#REF!</v>
      </c>
    </row>
    <row r="126" spans="1:2" ht="12.75" customHeight="1">
      <c r="A126" s="137" t="s">
        <v>564</v>
      </c>
      <c r="B126" s="137" t="e">
        <f>Numealtt9</f>
        <v>#REF!</v>
      </c>
    </row>
    <row r="127" spans="1:2" ht="12.75" customHeight="1">
      <c r="A127" s="137" t="s">
        <v>565</v>
      </c>
      <c r="B127" s="141" t="e">
        <f>t9yobgsal</f>
        <v>#REF!</v>
      </c>
    </row>
    <row r="128" spans="1:2" ht="12.75" customHeight="1">
      <c r="A128" s="137" t="s">
        <v>566</v>
      </c>
      <c r="B128" s="141" t="e">
        <f>t9yobgserv</f>
        <v>#REF!</v>
      </c>
    </row>
    <row r="129" spans="1:2" ht="12.75" customHeight="1">
      <c r="A129" s="137" t="s">
        <v>567</v>
      </c>
      <c r="B129" s="141" t="e">
        <f>t9yobgprof</f>
        <v>#REF!</v>
      </c>
    </row>
    <row r="130" spans="1:2" ht="12.75" customHeight="1">
      <c r="A130" s="137" t="s">
        <v>568</v>
      </c>
      <c r="B130" s="141" t="e">
        <f>t9yobgcbo</f>
        <v>#REF!</v>
      </c>
    </row>
    <row r="131" spans="1:2" ht="12.75" customHeight="1">
      <c r="A131" s="137" t="s">
        <v>569</v>
      </c>
      <c r="B131" s="141" t="e">
        <f>t9yobgequip</f>
        <v>#REF!</v>
      </c>
    </row>
    <row r="132" spans="1:2" ht="12.75" customHeight="1">
      <c r="A132" s="137" t="s">
        <v>570</v>
      </c>
      <c r="B132" s="141" t="e">
        <f>t9yobgadmin</f>
        <v>#REF!</v>
      </c>
    </row>
    <row r="133" spans="1:2" ht="12.75" customHeight="1">
      <c r="A133" s="137" t="s">
        <v>571</v>
      </c>
      <c r="B133" s="141" t="e">
        <f>t9yobgothr1</f>
        <v>#REF!</v>
      </c>
    </row>
    <row r="134" spans="1:2" ht="12.75" customHeight="1">
      <c r="A134" s="137" t="s">
        <v>572</v>
      </c>
      <c r="B134" s="141" t="e">
        <f>t9yobgothr2</f>
        <v>#REF!</v>
      </c>
    </row>
    <row r="135" spans="1:2" ht="12.75" customHeight="1">
      <c r="A135" s="137" t="s">
        <v>573</v>
      </c>
      <c r="B135" s="141" t="e">
        <f>t9yobgothr3</f>
        <v>#REF!</v>
      </c>
    </row>
    <row r="136" spans="1:2" ht="12.75" customHeight="1">
      <c r="A136" s="137" t="s">
        <v>574</v>
      </c>
      <c r="B136" s="141" t="e">
        <f>t9yobgtot</f>
        <v>#REF!</v>
      </c>
    </row>
    <row r="137" spans="1:2" ht="12.75" customHeight="1">
      <c r="A137" s="137" t="s">
        <v>575</v>
      </c>
      <c r="B137" s="141" t="e">
        <f>t9jjcpasal</f>
        <v>#REF!</v>
      </c>
    </row>
    <row r="138" spans="1:2" ht="12.75" customHeight="1">
      <c r="A138" s="137" t="s">
        <v>576</v>
      </c>
      <c r="B138" s="141" t="e">
        <f>t9jjcpaserv</f>
        <v>#REF!</v>
      </c>
    </row>
    <row r="139" spans="1:2" ht="12.75" customHeight="1">
      <c r="A139" s="137" t="s">
        <v>577</v>
      </c>
      <c r="B139" s="141" t="e">
        <f>t9jjcpaprof</f>
        <v>#REF!</v>
      </c>
    </row>
    <row r="140" spans="1:2" ht="12.75" customHeight="1">
      <c r="A140" s="137" t="s">
        <v>578</v>
      </c>
      <c r="B140" s="141" t="e">
        <f>t9jjcpacbo</f>
        <v>#REF!</v>
      </c>
    </row>
    <row r="141" spans="1:2" ht="12.75" customHeight="1">
      <c r="A141" s="137" t="s">
        <v>579</v>
      </c>
      <c r="B141" s="141" t="e">
        <f>t9jjcpaequip</f>
        <v>#REF!</v>
      </c>
    </row>
    <row r="142" spans="1:2" ht="12.75" customHeight="1">
      <c r="A142" s="137" t="s">
        <v>580</v>
      </c>
      <c r="B142" s="141" t="e">
        <f>t9jjcpaadmin</f>
        <v>#REF!</v>
      </c>
    </row>
    <row r="143" spans="1:2" ht="12.75" customHeight="1">
      <c r="A143" s="137" t="s">
        <v>581</v>
      </c>
      <c r="B143" s="141" t="e">
        <f>t9jjcpaothr1</f>
        <v>#REF!</v>
      </c>
    </row>
    <row r="144" spans="1:2" ht="12.75" customHeight="1">
      <c r="A144" s="137" t="s">
        <v>582</v>
      </c>
      <c r="B144" s="141" t="e">
        <f>t9jjcpaothr2</f>
        <v>#REF!</v>
      </c>
    </row>
    <row r="145" spans="1:2" ht="12.75" customHeight="1">
      <c r="A145" s="137" t="s">
        <v>583</v>
      </c>
      <c r="B145" s="141" t="e">
        <f>t9jjcpaothr3</f>
        <v>#REF!</v>
      </c>
    </row>
    <row r="146" spans="1:2" ht="12.75" customHeight="1">
      <c r="A146" s="137" t="s">
        <v>584</v>
      </c>
      <c r="B146" s="141" t="e">
        <f>t9jjcpatot</f>
        <v>#REF!</v>
      </c>
    </row>
    <row r="147" spans="1:2" ht="12.75" customHeight="1">
      <c r="A147" s="137" t="s">
        <v>585</v>
      </c>
      <c r="B147" s="141" t="e">
        <f>t9othersal</f>
        <v>#REF!</v>
      </c>
    </row>
    <row r="148" spans="1:2" ht="12.75" customHeight="1">
      <c r="A148" s="137" t="s">
        <v>586</v>
      </c>
      <c r="B148" s="141" t="e">
        <f>t9otherserv</f>
        <v>#REF!</v>
      </c>
    </row>
    <row r="149" spans="1:2" ht="12.75" customHeight="1">
      <c r="A149" s="137" t="s">
        <v>587</v>
      </c>
      <c r="B149" s="141" t="e">
        <f>t9otherprof</f>
        <v>#REF!</v>
      </c>
    </row>
    <row r="150" spans="1:2" ht="12.75" customHeight="1">
      <c r="A150" s="137" t="s">
        <v>588</v>
      </c>
      <c r="B150" s="141" t="e">
        <f>t9othercbo</f>
        <v>#REF!</v>
      </c>
    </row>
    <row r="151" spans="1:2" ht="12.75" customHeight="1">
      <c r="A151" s="137" t="s">
        <v>589</v>
      </c>
      <c r="B151" s="141" t="e">
        <f>t9otherequip</f>
        <v>#REF!</v>
      </c>
    </row>
    <row r="152" spans="1:2" ht="12.75" customHeight="1">
      <c r="A152" s="137" t="s">
        <v>590</v>
      </c>
      <c r="B152" s="141" t="e">
        <f>t9otheradmin</f>
        <v>#REF!</v>
      </c>
    </row>
    <row r="153" spans="1:2" ht="12.75" customHeight="1">
      <c r="A153" s="137" t="s">
        <v>591</v>
      </c>
      <c r="B153" s="141" t="e">
        <f>t9otherothr1</f>
        <v>#REF!</v>
      </c>
    </row>
    <row r="154" spans="1:2" ht="12.75" customHeight="1">
      <c r="A154" s="137" t="s">
        <v>592</v>
      </c>
      <c r="B154" s="141" t="e">
        <f>t9otherothr2</f>
        <v>#REF!</v>
      </c>
    </row>
    <row r="155" spans="1:2" ht="12.75" customHeight="1">
      <c r="A155" s="137" t="s">
        <v>593</v>
      </c>
      <c r="B155" s="141" t="e">
        <f>t9otherothr3</f>
        <v>#REF!</v>
      </c>
    </row>
    <row r="156" spans="1:2" ht="12.75" customHeight="1">
      <c r="A156" s="137" t="s">
        <v>594</v>
      </c>
      <c r="B156" s="141" t="e">
        <f>t9othertot</f>
        <v>#REF!</v>
      </c>
    </row>
    <row r="157" spans="1:2" ht="12.75" customHeight="1">
      <c r="A157" s="137" t="s">
        <v>595</v>
      </c>
      <c r="B157" s="139" t="e">
        <f>t9casecount</f>
        <v>#REF!</v>
      </c>
    </row>
    <row r="158" spans="1:2" ht="12.75" customHeight="1">
      <c r="A158" s="137" t="s">
        <v>596</v>
      </c>
      <c r="B158" s="142" t="e">
        <f>t9yobgpercap</f>
        <v>#REF!</v>
      </c>
    </row>
    <row r="159" spans="1:2" ht="12.75" customHeight="1">
      <c r="A159" s="137" t="s">
        <v>597</v>
      </c>
      <c r="B159" s="142" t="e">
        <f>t9totpercap</f>
        <v>#REF!</v>
      </c>
    </row>
    <row r="160" spans="1:2" ht="12.75" customHeight="1">
      <c r="A160" s="137" t="s">
        <v>598</v>
      </c>
      <c r="B160" s="139" t="e">
        <f>t9youth1</f>
        <v>#REF!</v>
      </c>
    </row>
    <row r="161" spans="1:2" ht="12.75" customHeight="1">
      <c r="A161" s="137" t="s">
        <v>599</v>
      </c>
      <c r="B161" s="139" t="e">
        <f>t9youth2</f>
        <v>#REF!</v>
      </c>
    </row>
    <row r="162" spans="1:2" ht="12.75" customHeight="1">
      <c r="A162" s="137" t="s">
        <v>600</v>
      </c>
      <c r="B162" s="139" t="e">
        <f>t9youth3</f>
        <v>#REF!</v>
      </c>
    </row>
    <row r="163" spans="1:2" ht="12.75" customHeight="1">
      <c r="A163" s="137" t="s">
        <v>601</v>
      </c>
      <c r="B163" s="139" t="e">
        <f>t9youth4</f>
        <v>#REF!</v>
      </c>
    </row>
    <row r="164" spans="1:2" ht="12.75" customHeight="1">
      <c r="A164" s="137" t="s">
        <v>602</v>
      </c>
      <c r="B164" s="139" t="e">
        <f>t9youth5</f>
        <v>#REF!</v>
      </c>
    </row>
    <row r="165" spans="1:2" ht="12.75" customHeight="1">
      <c r="A165" s="137" t="s">
        <v>603</v>
      </c>
      <c r="B165" s="139" t="e">
        <f>t9youth6</f>
        <v>#REF!</v>
      </c>
    </row>
    <row r="166" spans="1:2" ht="12.75" customHeight="1">
      <c r="A166" s="137" t="s">
        <v>604</v>
      </c>
      <c r="B166" s="137" t="e">
        <f>Numecodet10</f>
        <v>#REF!</v>
      </c>
    </row>
    <row r="167" spans="1:2" ht="12.75" customHeight="1">
      <c r="A167" s="137" t="s">
        <v>605</v>
      </c>
      <c r="B167" s="137" t="e">
        <f>Numealtt10</f>
        <v>#REF!</v>
      </c>
    </row>
    <row r="168" spans="1:2" ht="12.75" customHeight="1">
      <c r="A168" s="137" t="s">
        <v>606</v>
      </c>
      <c r="B168" s="141" t="e">
        <f>t10yobgsal</f>
        <v>#REF!</v>
      </c>
    </row>
    <row r="169" spans="1:2" ht="12.75" customHeight="1">
      <c r="A169" s="137" t="s">
        <v>607</v>
      </c>
      <c r="B169" s="141" t="e">
        <f>t10yobgserv</f>
        <v>#REF!</v>
      </c>
    </row>
    <row r="170" spans="1:2" ht="12.75" customHeight="1">
      <c r="A170" s="137" t="s">
        <v>608</v>
      </c>
      <c r="B170" s="141" t="e">
        <f>t10yobgprof</f>
        <v>#REF!</v>
      </c>
    </row>
    <row r="171" spans="1:2" ht="12.75" customHeight="1">
      <c r="A171" s="137" t="s">
        <v>609</v>
      </c>
      <c r="B171" s="141" t="e">
        <f>t10yobgcbo</f>
        <v>#REF!</v>
      </c>
    </row>
    <row r="172" spans="1:2" ht="12.75" customHeight="1">
      <c r="A172" s="137" t="s">
        <v>610</v>
      </c>
      <c r="B172" s="141" t="e">
        <f>t10yobgequip</f>
        <v>#REF!</v>
      </c>
    </row>
    <row r="173" spans="1:2" ht="12.75" customHeight="1">
      <c r="A173" s="137" t="s">
        <v>611</v>
      </c>
      <c r="B173" s="141" t="e">
        <f>t10yobgadmin</f>
        <v>#REF!</v>
      </c>
    </row>
    <row r="174" spans="1:2" ht="12.75" customHeight="1">
      <c r="A174" s="137" t="s">
        <v>612</v>
      </c>
      <c r="B174" s="141" t="e">
        <f>t10yobgothr1</f>
        <v>#REF!</v>
      </c>
    </row>
    <row r="175" spans="1:2" ht="12.75" customHeight="1">
      <c r="A175" s="137" t="s">
        <v>613</v>
      </c>
      <c r="B175" s="141" t="e">
        <f>t10yobgothr2</f>
        <v>#REF!</v>
      </c>
    </row>
    <row r="176" spans="1:2" ht="12.75" customHeight="1">
      <c r="A176" s="137" t="s">
        <v>614</v>
      </c>
      <c r="B176" s="141" t="e">
        <f>t10yobgothr3</f>
        <v>#REF!</v>
      </c>
    </row>
    <row r="177" spans="1:2" ht="12.75" customHeight="1">
      <c r="A177" s="137" t="s">
        <v>615</v>
      </c>
      <c r="B177" s="141" t="e">
        <f>t10yobgtot</f>
        <v>#REF!</v>
      </c>
    </row>
    <row r="178" spans="1:2" ht="12.75" customHeight="1">
      <c r="A178" s="137" t="s">
        <v>616</v>
      </c>
      <c r="B178" s="141" t="e">
        <f>t10jjcpasal</f>
        <v>#REF!</v>
      </c>
    </row>
    <row r="179" spans="1:2" ht="12.75" customHeight="1">
      <c r="A179" s="137" t="s">
        <v>617</v>
      </c>
      <c r="B179" s="141" t="e">
        <f>t10jjcpaserv</f>
        <v>#REF!</v>
      </c>
    </row>
    <row r="180" spans="1:2" ht="12.75" customHeight="1">
      <c r="A180" s="137" t="s">
        <v>618</v>
      </c>
      <c r="B180" s="141" t="e">
        <f>t10jjcpaprof</f>
        <v>#REF!</v>
      </c>
    </row>
    <row r="181" spans="1:2" ht="12.75" customHeight="1">
      <c r="A181" s="137" t="s">
        <v>619</v>
      </c>
      <c r="B181" s="141" t="e">
        <f>t10jjcpacbo</f>
        <v>#REF!</v>
      </c>
    </row>
    <row r="182" spans="1:2" ht="12.75" customHeight="1">
      <c r="A182" s="137" t="s">
        <v>620</v>
      </c>
      <c r="B182" s="141" t="e">
        <f>t10jjcpaequip</f>
        <v>#REF!</v>
      </c>
    </row>
    <row r="183" spans="1:2" ht="12.75" customHeight="1">
      <c r="A183" s="137" t="s">
        <v>621</v>
      </c>
      <c r="B183" s="141" t="e">
        <f>t10jjcpaadmin</f>
        <v>#REF!</v>
      </c>
    </row>
    <row r="184" spans="1:2" ht="12.75" customHeight="1">
      <c r="A184" s="137" t="s">
        <v>622</v>
      </c>
      <c r="B184" s="141" t="e">
        <f>t10jjcpaothr1</f>
        <v>#REF!</v>
      </c>
    </row>
    <row r="185" spans="1:2" ht="12.75" customHeight="1">
      <c r="A185" s="137" t="s">
        <v>623</v>
      </c>
      <c r="B185" s="141" t="e">
        <f>t10jjcpaothr2</f>
        <v>#REF!</v>
      </c>
    </row>
    <row r="186" spans="1:2" ht="12.75" customHeight="1">
      <c r="A186" s="137" t="s">
        <v>624</v>
      </c>
      <c r="B186" s="141" t="e">
        <f>t10jjcpaothr3</f>
        <v>#REF!</v>
      </c>
    </row>
    <row r="187" spans="1:2" ht="12.75" customHeight="1">
      <c r="A187" s="137" t="s">
        <v>625</v>
      </c>
      <c r="B187" s="141" t="e">
        <f>t10jjcpatot</f>
        <v>#REF!</v>
      </c>
    </row>
    <row r="188" spans="1:2" ht="12.75" customHeight="1">
      <c r="A188" s="137" t="s">
        <v>626</v>
      </c>
      <c r="B188" s="141" t="e">
        <f>t10othersal</f>
        <v>#REF!</v>
      </c>
    </row>
    <row r="189" spans="1:2" ht="12.75" customHeight="1">
      <c r="A189" s="137" t="s">
        <v>627</v>
      </c>
      <c r="B189" s="141" t="e">
        <f>t10otherserv</f>
        <v>#REF!</v>
      </c>
    </row>
    <row r="190" spans="1:2" ht="12.75" customHeight="1">
      <c r="A190" s="137" t="s">
        <v>628</v>
      </c>
      <c r="B190" s="141" t="e">
        <f>t10otherprof</f>
        <v>#REF!</v>
      </c>
    </row>
    <row r="191" spans="1:2" ht="12.75" customHeight="1">
      <c r="A191" s="137" t="s">
        <v>629</v>
      </c>
      <c r="B191" s="141" t="e">
        <f>t10othercbo</f>
        <v>#REF!</v>
      </c>
    </row>
    <row r="192" spans="1:2" ht="12.75" customHeight="1">
      <c r="A192" s="137" t="s">
        <v>630</v>
      </c>
      <c r="B192" s="141" t="e">
        <f>t10otherequip</f>
        <v>#REF!</v>
      </c>
    </row>
    <row r="193" spans="1:2" ht="12.75" customHeight="1">
      <c r="A193" s="137" t="s">
        <v>631</v>
      </c>
      <c r="B193" s="141" t="e">
        <f>t10otheradmin</f>
        <v>#REF!</v>
      </c>
    </row>
    <row r="194" spans="1:2" ht="12.75" customHeight="1">
      <c r="A194" s="137" t="s">
        <v>632</v>
      </c>
      <c r="B194" s="141" t="e">
        <f>t10otherothr1</f>
        <v>#REF!</v>
      </c>
    </row>
    <row r="195" spans="1:2" ht="12.75" customHeight="1">
      <c r="A195" s="137" t="s">
        <v>633</v>
      </c>
      <c r="B195" s="141" t="e">
        <f>t10otherothr2</f>
        <v>#REF!</v>
      </c>
    </row>
    <row r="196" spans="1:2" ht="12.75" customHeight="1">
      <c r="A196" s="137" t="s">
        <v>634</v>
      </c>
      <c r="B196" s="141" t="e">
        <f>t10otherothr3</f>
        <v>#REF!</v>
      </c>
    </row>
    <row r="197" spans="1:2" ht="12.75" customHeight="1">
      <c r="A197" s="137" t="s">
        <v>635</v>
      </c>
      <c r="B197" s="141" t="e">
        <f>t10othertot</f>
        <v>#REF!</v>
      </c>
    </row>
    <row r="198" spans="1:2" ht="12.75" customHeight="1">
      <c r="A198" s="137" t="s">
        <v>636</v>
      </c>
      <c r="B198" s="139" t="e">
        <f>t10casecount</f>
        <v>#REF!</v>
      </c>
    </row>
    <row r="199" spans="1:2" ht="12.75" customHeight="1">
      <c r="A199" s="137" t="s">
        <v>637</v>
      </c>
      <c r="B199" s="142" t="e">
        <f>t10yobgpercap</f>
        <v>#REF!</v>
      </c>
    </row>
    <row r="200" spans="1:2" ht="12.75" customHeight="1">
      <c r="A200" s="137" t="s">
        <v>638</v>
      </c>
      <c r="B200" s="142" t="e">
        <f>t10totpercap</f>
        <v>#REF!</v>
      </c>
    </row>
    <row r="201" spans="1:2" ht="12.75" customHeight="1">
      <c r="A201" s="137" t="s">
        <v>639</v>
      </c>
      <c r="B201" s="139" t="e">
        <f>t10youth1</f>
        <v>#REF!</v>
      </c>
    </row>
    <row r="202" spans="1:2" ht="12.75" customHeight="1">
      <c r="A202" s="137" t="s">
        <v>640</v>
      </c>
      <c r="B202" s="139" t="e">
        <f>t10youth2</f>
        <v>#REF!</v>
      </c>
    </row>
    <row r="203" spans="1:2" ht="12.75" customHeight="1">
      <c r="A203" s="137" t="s">
        <v>641</v>
      </c>
      <c r="B203" s="139" t="e">
        <f>t10youth3</f>
        <v>#REF!</v>
      </c>
    </row>
    <row r="204" spans="1:2" ht="12.75" customHeight="1">
      <c r="A204" s="137" t="s">
        <v>642</v>
      </c>
      <c r="B204" s="139" t="e">
        <f>t10youth4</f>
        <v>#REF!</v>
      </c>
    </row>
    <row r="205" spans="1:2" ht="12.75" customHeight="1">
      <c r="A205" s="137" t="s">
        <v>643</v>
      </c>
      <c r="B205" s="139" t="e">
        <f>t10youth5</f>
        <v>#REF!</v>
      </c>
    </row>
    <row r="206" spans="1:2" ht="12.75" customHeight="1">
      <c r="A206" s="137" t="s">
        <v>644</v>
      </c>
      <c r="B206" s="139" t="e">
        <f>t10youth6</f>
        <v>#REF!</v>
      </c>
    </row>
    <row r="207" spans="1:2" ht="12.75" customHeight="1">
      <c r="A207" s="137" t="s">
        <v>645</v>
      </c>
      <c r="B207" s="139">
        <f>asi</f>
        <v>0</v>
      </c>
    </row>
    <row r="208" spans="1:2" ht="12.75" customHeight="1">
      <c r="A208" s="137" t="s">
        <v>179</v>
      </c>
      <c r="B208" s="139">
        <f>bot</f>
        <v>0</v>
      </c>
    </row>
    <row r="209" spans="1:2" ht="12.75" customHeight="1">
      <c r="A209" s="137" t="s">
        <v>646</v>
      </c>
      <c r="B209" s="139">
        <f>COMPAS</f>
        <v>0</v>
      </c>
    </row>
    <row r="210" spans="1:2" ht="12.75" customHeight="1">
      <c r="A210" s="137" t="s">
        <v>647</v>
      </c>
      <c r="B210" s="139">
        <f>JAIS</f>
        <v>0</v>
      </c>
    </row>
    <row r="211" spans="1:2" ht="12.75" customHeight="1">
      <c r="A211" s="137" t="s">
        <v>648</v>
      </c>
      <c r="B211" s="139">
        <f>LSIR</f>
        <v>0</v>
      </c>
    </row>
    <row r="212" spans="1:2" ht="12.75" customHeight="1">
      <c r="A212" s="137" t="s">
        <v>649</v>
      </c>
      <c r="B212" s="139">
        <f>MAYSI2</f>
        <v>0</v>
      </c>
    </row>
    <row r="213" spans="1:2" ht="12.75" customHeight="1">
      <c r="A213" s="137" t="s">
        <v>650</v>
      </c>
      <c r="B213" s="139">
        <f>MAYSI</f>
        <v>0</v>
      </c>
    </row>
    <row r="214" spans="1:2" ht="12.75" customHeight="1">
      <c r="A214" s="137" t="s">
        <v>651</v>
      </c>
      <c r="B214" s="139">
        <f>NIC</f>
        <v>0</v>
      </c>
    </row>
    <row r="215" spans="1:2" ht="12.75" customHeight="1">
      <c r="A215" s="137" t="s">
        <v>652</v>
      </c>
      <c r="B215" s="139">
        <f>PACT</f>
        <v>0</v>
      </c>
    </row>
    <row r="216" spans="1:2" ht="12.75" customHeight="1">
      <c r="A216" s="137" t="s">
        <v>653</v>
      </c>
      <c r="B216" s="139">
        <f>RRC</f>
        <v>0</v>
      </c>
    </row>
    <row r="217" spans="1:2" ht="12.75" customHeight="1">
      <c r="A217" s="137" t="s">
        <v>654</v>
      </c>
      <c r="B217" s="139">
        <f>YLSCMI</f>
        <v>0</v>
      </c>
    </row>
    <row r="218" spans="1:2" ht="12.75" customHeight="1">
      <c r="A218" s="137" t="s">
        <v>655</v>
      </c>
      <c r="B218" s="139">
        <f>othrassessmentname1</f>
        <v>0</v>
      </c>
    </row>
    <row r="219" spans="1:2" ht="12.75" customHeight="1">
      <c r="A219" s="137" t="s">
        <v>656</v>
      </c>
      <c r="B219" s="139">
        <f>othrassess1</f>
        <v>0</v>
      </c>
    </row>
    <row r="220" spans="1:2" ht="12.75" customHeight="1">
      <c r="A220" s="137" t="s">
        <v>657</v>
      </c>
      <c r="B220" s="139">
        <f>othrassessmentname2</f>
        <v>0</v>
      </c>
    </row>
    <row r="221" spans="1:2" ht="12.75" customHeight="1">
      <c r="A221" s="137" t="s">
        <v>658</v>
      </c>
      <c r="B221" s="139">
        <f>othrassess2</f>
        <v>0</v>
      </c>
    </row>
    <row r="222" spans="1:2" ht="12.75" customHeight="1">
      <c r="A222" s="137" t="s">
        <v>659</v>
      </c>
      <c r="B222" s="139">
        <f>othrassessmentname3</f>
        <v>0</v>
      </c>
    </row>
    <row r="223" spans="1:2" ht="12.75" customHeight="1">
      <c r="A223" s="137" t="s">
        <v>660</v>
      </c>
      <c r="B223" s="139">
        <f>othrassess3</f>
        <v>0</v>
      </c>
    </row>
    <row r="224" spans="1:2" ht="12.75" customHeight="1">
      <c r="A224" s="137" t="s">
        <v>661</v>
      </c>
      <c r="B224" s="139">
        <f>othrassessmentname4</f>
        <v>0</v>
      </c>
    </row>
    <row r="225" spans="1:2" ht="12.75" customHeight="1">
      <c r="A225" s="137" t="s">
        <v>662</v>
      </c>
      <c r="B225" s="139">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37" t="s">
        <v>215</v>
      </c>
      <c r="B1" s="16" t="str">
        <f>County</f>
        <v>Yolo</v>
      </c>
    </row>
    <row r="2" spans="1:2" ht="12.75" customHeight="1">
      <c r="A2" s="137" t="s">
        <v>663</v>
      </c>
      <c r="B2" s="139">
        <f>coord1</f>
        <v>0</v>
      </c>
    </row>
    <row r="3" spans="1:2" ht="12.75" customHeight="1">
      <c r="A3" s="137" t="s">
        <v>664</v>
      </c>
      <c r="B3" s="139">
        <f>coord2</f>
        <v>0</v>
      </c>
    </row>
    <row r="4" spans="1:2" ht="12.75" customHeight="1">
      <c r="A4" s="137" t="s">
        <v>665</v>
      </c>
      <c r="B4" s="139">
        <f>strategy</f>
        <v>0</v>
      </c>
    </row>
    <row r="5" spans="1:2" ht="12.75" customHeight="1">
      <c r="A5" s="137" t="s">
        <v>666</v>
      </c>
      <c r="B5" s="139">
        <f>stratnar</f>
        <v>0</v>
      </c>
    </row>
    <row r="6" spans="1:2" ht="12.75" customHeight="1">
      <c r="A6" s="137" t="s">
        <v>667</v>
      </c>
      <c r="B6" s="139">
        <f>stratdf</f>
        <v>0</v>
      </c>
    </row>
    <row r="7" spans="1:2" ht="12.75" customHeight="1">
      <c r="A7" s="137" t="s">
        <v>668</v>
      </c>
      <c r="B7" s="139">
        <f>stratplan</f>
        <v>0</v>
      </c>
    </row>
    <row r="8" spans="1:2" ht="12.75" customHeight="1">
      <c r="A8" s="137" t="s">
        <v>669</v>
      </c>
      <c r="B8" s="139">
        <f>coordnar</f>
        <v>0</v>
      </c>
    </row>
    <row r="9" spans="1:2" ht="12.75" customHeight="1">
      <c r="A9" s="137" t="s">
        <v>670</v>
      </c>
      <c r="B9" s="137">
        <f>regional</f>
        <v>0</v>
      </c>
    </row>
    <row r="10" spans="1:2" ht="12.75" customHeight="1">
      <c r="A10" s="137" t="s">
        <v>235</v>
      </c>
      <c r="B10" s="137" t="e">
        <f>Numecodet1</f>
        <v>#REF!</v>
      </c>
    </row>
    <row r="11" spans="1:2" ht="12.75" customHeight="1">
      <c r="A11" s="137" t="s">
        <v>236</v>
      </c>
      <c r="B11" s="137" t="e">
        <f>Numealtt1</f>
        <v>#REF!</v>
      </c>
    </row>
    <row r="12" spans="1:2" ht="12.75" customHeight="1">
      <c r="A12" s="137" t="s">
        <v>671</v>
      </c>
      <c r="B12" s="137" t="e">
        <f>JJCPAt1</f>
        <v>#REF!</v>
      </c>
    </row>
    <row r="13" spans="1:2" ht="12.75" customHeight="1">
      <c r="A13" s="137" t="s">
        <v>672</v>
      </c>
      <c r="B13" s="137" t="e">
        <f>Othert1</f>
        <v>#REF!</v>
      </c>
    </row>
    <row r="14" spans="1:2" ht="12.75" customHeight="1">
      <c r="A14" s="137" t="s">
        <v>267</v>
      </c>
      <c r="B14" s="139" t="e">
        <f>t1casecount</f>
        <v>#REF!</v>
      </c>
    </row>
    <row r="15" spans="1:2" ht="12.75" customHeight="1">
      <c r="A15" s="137" t="s">
        <v>268</v>
      </c>
      <c r="B15" s="142" t="e">
        <f>t1yobgpercap</f>
        <v>#REF!</v>
      </c>
    </row>
    <row r="16" spans="1:2" ht="12.75" customHeight="1">
      <c r="A16" s="137" t="s">
        <v>269</v>
      </c>
      <c r="B16" s="142" t="e">
        <f>t1totpercap</f>
        <v>#REF!</v>
      </c>
    </row>
    <row r="17" spans="1:2" ht="12.75" customHeight="1">
      <c r="A17" s="137" t="s">
        <v>673</v>
      </c>
      <c r="B17" s="137" t="e">
        <f>t1nar</f>
        <v>#REF!</v>
      </c>
    </row>
    <row r="18" spans="1:2" ht="12.75" customHeight="1">
      <c r="A18" s="137" t="s">
        <v>674</v>
      </c>
      <c r="B18" s="137" t="e">
        <f>t1goal</f>
        <v>#REF!</v>
      </c>
    </row>
    <row r="19" spans="1:2" ht="12.75" customHeight="1">
      <c r="A19" s="137" t="s">
        <v>675</v>
      </c>
      <c r="B19" s="137" t="e">
        <f>t1barrier</f>
        <v>#REF!</v>
      </c>
    </row>
    <row r="20" spans="1:2" ht="12.75" customHeight="1">
      <c r="A20" s="137" t="s">
        <v>676</v>
      </c>
      <c r="B20" s="137" t="e">
        <f>t1funds</f>
        <v>#REF!</v>
      </c>
    </row>
    <row r="21" spans="1:2" ht="12.75" customHeight="1">
      <c r="A21" s="137" t="s">
        <v>677</v>
      </c>
      <c r="B21" s="137" t="e">
        <f>t1other1</f>
        <v>#REF!</v>
      </c>
    </row>
    <row r="22" spans="1:2" ht="12.75" customHeight="1">
      <c r="A22" s="137" t="s">
        <v>678</v>
      </c>
      <c r="B22" s="137" t="e">
        <f>t1other2</f>
        <v>#REF!</v>
      </c>
    </row>
    <row r="23" spans="1:2" ht="12.75" customHeight="1">
      <c r="A23" s="137" t="s">
        <v>679</v>
      </c>
      <c r="B23" s="137" t="e">
        <f>t1other3</f>
        <v>#REF!</v>
      </c>
    </row>
    <row r="24" spans="1:2" ht="12.75" customHeight="1">
      <c r="A24" s="137" t="s">
        <v>276</v>
      </c>
      <c r="B24" s="137" t="e">
        <f>Numecodet2</f>
        <v>#REF!</v>
      </c>
    </row>
    <row r="25" spans="1:2" ht="12.75" customHeight="1">
      <c r="A25" s="137" t="s">
        <v>277</v>
      </c>
      <c r="B25" s="137" t="e">
        <f>Numealtt2</f>
        <v>#REF!</v>
      </c>
    </row>
    <row r="26" spans="1:2" ht="12.75" customHeight="1">
      <c r="A26" s="137" t="s">
        <v>680</v>
      </c>
      <c r="B26" s="137" t="e">
        <f>JJCPAt2</f>
        <v>#REF!</v>
      </c>
    </row>
    <row r="27" spans="1:2" ht="12.75" customHeight="1">
      <c r="A27" s="137" t="s">
        <v>681</v>
      </c>
      <c r="B27" s="137" t="e">
        <f>Othert2</f>
        <v>#REF!</v>
      </c>
    </row>
    <row r="28" spans="1:2" ht="12.75" customHeight="1">
      <c r="A28" s="137" t="s">
        <v>308</v>
      </c>
      <c r="B28" s="139" t="e">
        <f>t2casecount</f>
        <v>#REF!</v>
      </c>
    </row>
    <row r="29" spans="1:2" ht="12.75" customHeight="1">
      <c r="A29" s="137" t="s">
        <v>309</v>
      </c>
      <c r="B29" s="142" t="e">
        <f>t2yobgpercap</f>
        <v>#REF!</v>
      </c>
    </row>
    <row r="30" spans="1:2" ht="12.75" customHeight="1">
      <c r="A30" s="137" t="s">
        <v>310</v>
      </c>
      <c r="B30" s="142" t="e">
        <f>t2totpercap</f>
        <v>#REF!</v>
      </c>
    </row>
    <row r="31" spans="1:2" ht="12.75" customHeight="1">
      <c r="A31" s="137" t="s">
        <v>682</v>
      </c>
      <c r="B31" s="137" t="e">
        <f>t2nar</f>
        <v>#REF!</v>
      </c>
    </row>
    <row r="32" spans="1:2" ht="12.75" customHeight="1">
      <c r="A32" s="137" t="s">
        <v>683</v>
      </c>
      <c r="B32" s="137" t="e">
        <f>t2goal</f>
        <v>#REF!</v>
      </c>
    </row>
    <row r="33" spans="1:2" ht="12.75" customHeight="1">
      <c r="A33" s="137" t="s">
        <v>684</v>
      </c>
      <c r="B33" s="137" t="e">
        <f>t2barrier</f>
        <v>#REF!</v>
      </c>
    </row>
    <row r="34" spans="1:2" ht="12.75" customHeight="1">
      <c r="A34" s="137" t="s">
        <v>685</v>
      </c>
      <c r="B34" s="137" t="e">
        <f>t2funds</f>
        <v>#REF!</v>
      </c>
    </row>
    <row r="35" spans="1:2" ht="12.75" customHeight="1">
      <c r="A35" s="137" t="s">
        <v>686</v>
      </c>
      <c r="B35" s="137" t="e">
        <f>t2other1</f>
        <v>#REF!</v>
      </c>
    </row>
    <row r="36" spans="1:2" ht="12.75" customHeight="1">
      <c r="A36" s="137" t="s">
        <v>687</v>
      </c>
      <c r="B36" s="137" t="e">
        <f>t2other2</f>
        <v>#REF!</v>
      </c>
    </row>
    <row r="37" spans="1:2" ht="12.75" customHeight="1">
      <c r="A37" s="137" t="s">
        <v>688</v>
      </c>
      <c r="B37" s="137" t="e">
        <f>t2other3</f>
        <v>#REF!</v>
      </c>
    </row>
    <row r="38" spans="1:2" ht="12.75" customHeight="1">
      <c r="A38" s="137" t="s">
        <v>317</v>
      </c>
      <c r="B38" s="137" t="e">
        <f>Numecodet3</f>
        <v>#REF!</v>
      </c>
    </row>
    <row r="39" spans="1:2" ht="12.75" customHeight="1">
      <c r="A39" s="137" t="s">
        <v>318</v>
      </c>
      <c r="B39" s="137" t="e">
        <f>Numealtt3</f>
        <v>#REF!</v>
      </c>
    </row>
    <row r="40" spans="1:2" ht="12.75" customHeight="1">
      <c r="A40" s="137" t="s">
        <v>689</v>
      </c>
      <c r="B40" s="137" t="e">
        <f>JJCPAt3</f>
        <v>#REF!</v>
      </c>
    </row>
    <row r="41" spans="1:2" ht="12.75" customHeight="1">
      <c r="A41" s="137" t="s">
        <v>690</v>
      </c>
      <c r="B41" s="137" t="e">
        <f>Othert3</f>
        <v>#REF!</v>
      </c>
    </row>
    <row r="42" spans="1:2" ht="12.75" customHeight="1">
      <c r="A42" s="137" t="s">
        <v>349</v>
      </c>
      <c r="B42" s="139" t="e">
        <f>t3casecount</f>
        <v>#REF!</v>
      </c>
    </row>
    <row r="43" spans="1:2" ht="12.75" customHeight="1">
      <c r="A43" s="137" t="s">
        <v>350</v>
      </c>
      <c r="B43" s="142" t="e">
        <f>t3yobgpercap</f>
        <v>#REF!</v>
      </c>
    </row>
    <row r="44" spans="1:2" ht="12.75" customHeight="1">
      <c r="A44" s="137" t="s">
        <v>351</v>
      </c>
      <c r="B44" s="142" t="e">
        <f>t3totpercap</f>
        <v>#REF!</v>
      </c>
    </row>
    <row r="45" spans="1:2" ht="12.75" customHeight="1">
      <c r="A45" s="137" t="s">
        <v>691</v>
      </c>
      <c r="B45" s="137" t="e">
        <f>t3nar</f>
        <v>#REF!</v>
      </c>
    </row>
    <row r="46" spans="1:2" ht="12.75" customHeight="1">
      <c r="A46" s="137" t="s">
        <v>692</v>
      </c>
      <c r="B46" s="137" t="e">
        <f>t3goal</f>
        <v>#REF!</v>
      </c>
    </row>
    <row r="47" spans="1:2" ht="12.75" customHeight="1">
      <c r="A47" s="137" t="s">
        <v>693</v>
      </c>
      <c r="B47" s="137" t="e">
        <f>t3barrier</f>
        <v>#REF!</v>
      </c>
    </row>
    <row r="48" spans="1:2" ht="12.75" customHeight="1">
      <c r="A48" s="137" t="s">
        <v>694</v>
      </c>
      <c r="B48" s="137" t="e">
        <f>t3funds</f>
        <v>#REF!</v>
      </c>
    </row>
    <row r="49" spans="1:2" ht="12.75" customHeight="1">
      <c r="A49" s="137" t="s">
        <v>695</v>
      </c>
      <c r="B49" s="137" t="e">
        <f>t3other1</f>
        <v>#REF!</v>
      </c>
    </row>
    <row r="50" spans="1:2" ht="12.75" customHeight="1">
      <c r="A50" s="137" t="s">
        <v>696</v>
      </c>
      <c r="B50" s="137" t="e">
        <f>t3other2</f>
        <v>#REF!</v>
      </c>
    </row>
    <row r="51" spans="1:2" ht="12.75" customHeight="1">
      <c r="A51" s="137" t="s">
        <v>697</v>
      </c>
      <c r="B51" s="137" t="e">
        <f>t3other3</f>
        <v>#REF!</v>
      </c>
    </row>
    <row r="52" spans="1:2" ht="12.75" customHeight="1">
      <c r="A52" s="137" t="s">
        <v>358</v>
      </c>
      <c r="B52" s="137" t="e">
        <f>Numecodet4</f>
        <v>#REF!</v>
      </c>
    </row>
    <row r="53" spans="1:2" ht="12.75" customHeight="1">
      <c r="A53" s="137" t="s">
        <v>359</v>
      </c>
      <c r="B53" s="137" t="e">
        <f>Numealtt4</f>
        <v>#REF!</v>
      </c>
    </row>
    <row r="54" spans="1:2" ht="12.75" customHeight="1">
      <c r="A54" s="137" t="s">
        <v>698</v>
      </c>
      <c r="B54" s="137" t="e">
        <f>JJCPAt4</f>
        <v>#REF!</v>
      </c>
    </row>
    <row r="55" spans="1:2" ht="12.75" customHeight="1">
      <c r="A55" s="137" t="s">
        <v>699</v>
      </c>
      <c r="B55" s="137" t="e">
        <f>Othert4</f>
        <v>#REF!</v>
      </c>
    </row>
    <row r="56" spans="1:2" ht="12.75" customHeight="1">
      <c r="A56" s="137" t="s">
        <v>390</v>
      </c>
      <c r="B56" s="139" t="e">
        <f>t4casecount</f>
        <v>#REF!</v>
      </c>
    </row>
    <row r="57" spans="1:2" ht="12.75" customHeight="1">
      <c r="A57" s="137" t="s">
        <v>391</v>
      </c>
      <c r="B57" s="142" t="e">
        <f>t4yobgpercap</f>
        <v>#REF!</v>
      </c>
    </row>
    <row r="58" spans="1:2" ht="12.75" customHeight="1">
      <c r="A58" s="137" t="s">
        <v>392</v>
      </c>
      <c r="B58" s="142" t="e">
        <f>t4totpercap</f>
        <v>#REF!</v>
      </c>
    </row>
    <row r="59" spans="1:2" ht="12.75" customHeight="1">
      <c r="A59" s="137" t="s">
        <v>700</v>
      </c>
      <c r="B59" s="137" t="e">
        <f>t4nar</f>
        <v>#REF!</v>
      </c>
    </row>
    <row r="60" spans="1:2" ht="12.75" customHeight="1">
      <c r="A60" s="137" t="s">
        <v>701</v>
      </c>
      <c r="B60" s="137" t="e">
        <f>t4goal</f>
        <v>#REF!</v>
      </c>
    </row>
    <row r="61" spans="1:2" ht="12.75" customHeight="1">
      <c r="A61" s="137" t="s">
        <v>702</v>
      </c>
      <c r="B61" s="137" t="e">
        <f>t4barrier</f>
        <v>#REF!</v>
      </c>
    </row>
    <row r="62" spans="1:2" ht="12.75" customHeight="1">
      <c r="A62" s="137" t="s">
        <v>703</v>
      </c>
      <c r="B62" s="137" t="e">
        <f>t4funds</f>
        <v>#REF!</v>
      </c>
    </row>
    <row r="63" spans="1:2" ht="12.75" customHeight="1">
      <c r="A63" s="137" t="s">
        <v>704</v>
      </c>
      <c r="B63" s="137" t="e">
        <f>t4other1</f>
        <v>#REF!</v>
      </c>
    </row>
    <row r="64" spans="1:2" ht="12.75" customHeight="1">
      <c r="A64" s="137" t="s">
        <v>705</v>
      </c>
      <c r="B64" s="137" t="e">
        <f>t4other2</f>
        <v>#REF!</v>
      </c>
    </row>
    <row r="65" spans="1:2" ht="12.75" customHeight="1">
      <c r="A65" s="137" t="s">
        <v>706</v>
      </c>
      <c r="B65" s="137" t="e">
        <f>t4other3</f>
        <v>#REF!</v>
      </c>
    </row>
    <row r="66" spans="1:2" ht="12.75" customHeight="1">
      <c r="A66" s="137" t="s">
        <v>399</v>
      </c>
      <c r="B66" s="137" t="e">
        <f>Numecodet5</f>
        <v>#REF!</v>
      </c>
    </row>
    <row r="67" spans="1:2" ht="12.75" customHeight="1">
      <c r="A67" s="137" t="s">
        <v>400</v>
      </c>
      <c r="B67" s="137" t="e">
        <f>Numealtt5</f>
        <v>#REF!</v>
      </c>
    </row>
    <row r="68" spans="1:2" ht="12.75" customHeight="1">
      <c r="A68" s="137" t="s">
        <v>707</v>
      </c>
      <c r="B68" s="137" t="e">
        <f>JJCPAt5</f>
        <v>#REF!</v>
      </c>
    </row>
    <row r="69" spans="1:2" ht="12.75" customHeight="1">
      <c r="A69" s="137" t="s">
        <v>708</v>
      </c>
      <c r="B69" s="137" t="e">
        <f>Othert5</f>
        <v>#REF!</v>
      </c>
    </row>
    <row r="70" spans="1:2" ht="12.75" customHeight="1">
      <c r="A70" s="137" t="s">
        <v>431</v>
      </c>
      <c r="B70" s="139" t="e">
        <f>t5casecount</f>
        <v>#REF!</v>
      </c>
    </row>
    <row r="71" spans="1:2" ht="12.75" customHeight="1">
      <c r="A71" s="137" t="s">
        <v>432</v>
      </c>
      <c r="B71" s="142" t="e">
        <f>t5yobgpercap</f>
        <v>#REF!</v>
      </c>
    </row>
    <row r="72" spans="1:2" ht="12.75" customHeight="1">
      <c r="A72" s="137" t="s">
        <v>433</v>
      </c>
      <c r="B72" s="142" t="e">
        <f>t5totpercap</f>
        <v>#REF!</v>
      </c>
    </row>
    <row r="73" spans="1:2" ht="12.75" customHeight="1">
      <c r="A73" s="137" t="s">
        <v>709</v>
      </c>
      <c r="B73" s="137" t="e">
        <f>t5nar</f>
        <v>#REF!</v>
      </c>
    </row>
    <row r="74" spans="1:2" ht="12.75" customHeight="1">
      <c r="A74" s="137" t="s">
        <v>710</v>
      </c>
      <c r="B74" s="137" t="e">
        <f>t5goal</f>
        <v>#REF!</v>
      </c>
    </row>
    <row r="75" spans="1:2" ht="12.75" customHeight="1">
      <c r="A75" s="137" t="s">
        <v>711</v>
      </c>
      <c r="B75" s="137" t="e">
        <f>t5barrier</f>
        <v>#REF!</v>
      </c>
    </row>
    <row r="76" spans="1:2" ht="12.75" customHeight="1">
      <c r="A76" s="137" t="s">
        <v>712</v>
      </c>
      <c r="B76" s="137" t="e">
        <f>t5funds</f>
        <v>#REF!</v>
      </c>
    </row>
    <row r="77" spans="1:2" ht="12.75" customHeight="1">
      <c r="A77" s="137" t="s">
        <v>713</v>
      </c>
      <c r="B77" s="137" t="e">
        <f>t5other1</f>
        <v>#REF!</v>
      </c>
    </row>
    <row r="78" spans="1:2" ht="12.75" customHeight="1">
      <c r="A78" s="137" t="s">
        <v>714</v>
      </c>
      <c r="B78" s="137" t="e">
        <f>t5other2</f>
        <v>#REF!</v>
      </c>
    </row>
    <row r="79" spans="1:2" ht="12.75" customHeight="1">
      <c r="A79" s="137" t="s">
        <v>715</v>
      </c>
      <c r="B79" s="137" t="e">
        <f>t5other3</f>
        <v>#REF!</v>
      </c>
    </row>
    <row r="80" spans="1:2" ht="12.75" customHeight="1">
      <c r="A80" s="137" t="s">
        <v>440</v>
      </c>
      <c r="B80" s="137" t="e">
        <f>Numecodet6</f>
        <v>#REF!</v>
      </c>
    </row>
    <row r="81" spans="1:2" ht="12.75" customHeight="1">
      <c r="A81" s="137" t="s">
        <v>441</v>
      </c>
      <c r="B81" s="137" t="e">
        <f>Numealtt6</f>
        <v>#REF!</v>
      </c>
    </row>
    <row r="82" spans="1:2" ht="12.75" customHeight="1">
      <c r="A82" s="137" t="s">
        <v>716</v>
      </c>
      <c r="B82" s="137" t="e">
        <f>JJCPAt6</f>
        <v>#REF!</v>
      </c>
    </row>
    <row r="83" spans="1:2" ht="12.75" customHeight="1">
      <c r="A83" s="137" t="s">
        <v>717</v>
      </c>
      <c r="B83" s="137" t="e">
        <f>Othert6</f>
        <v>#REF!</v>
      </c>
    </row>
    <row r="84" spans="1:2" ht="12.75" customHeight="1">
      <c r="A84" s="137" t="s">
        <v>472</v>
      </c>
      <c r="B84" s="139" t="e">
        <f>t6casecount</f>
        <v>#REF!</v>
      </c>
    </row>
    <row r="85" spans="1:2" ht="12.75" customHeight="1">
      <c r="A85" s="137" t="s">
        <v>473</v>
      </c>
      <c r="B85" s="142" t="e">
        <f>t6yobgpercap</f>
        <v>#REF!</v>
      </c>
    </row>
    <row r="86" spans="1:2" ht="12.75" customHeight="1">
      <c r="A86" s="137" t="s">
        <v>474</v>
      </c>
      <c r="B86" s="142" t="e">
        <f>t6totpercap</f>
        <v>#REF!</v>
      </c>
    </row>
    <row r="87" spans="1:2" ht="12.75" customHeight="1">
      <c r="A87" s="137" t="s">
        <v>718</v>
      </c>
      <c r="B87" s="137" t="e">
        <f>t6nar</f>
        <v>#REF!</v>
      </c>
    </row>
    <row r="88" spans="1:2" ht="12.75" customHeight="1">
      <c r="A88" s="137" t="s">
        <v>719</v>
      </c>
      <c r="B88" s="137" t="e">
        <f>t6goal</f>
        <v>#REF!</v>
      </c>
    </row>
    <row r="89" spans="1:2" ht="12.75" customHeight="1">
      <c r="A89" s="137" t="s">
        <v>720</v>
      </c>
      <c r="B89" s="137" t="e">
        <f>t6barrier</f>
        <v>#REF!</v>
      </c>
    </row>
    <row r="90" spans="1:2" ht="12.75" customHeight="1">
      <c r="A90" s="137" t="s">
        <v>721</v>
      </c>
      <c r="B90" s="137" t="e">
        <f>t6funds</f>
        <v>#REF!</v>
      </c>
    </row>
    <row r="91" spans="1:2" ht="12.75" customHeight="1">
      <c r="A91" s="137" t="s">
        <v>722</v>
      </c>
      <c r="B91" s="137" t="e">
        <f>t6other1</f>
        <v>#REF!</v>
      </c>
    </row>
    <row r="92" spans="1:2" ht="12.75" customHeight="1">
      <c r="A92" s="137" t="s">
        <v>723</v>
      </c>
      <c r="B92" s="137" t="e">
        <f>t6other2</f>
        <v>#REF!</v>
      </c>
    </row>
    <row r="93" spans="1:2" ht="12.75" customHeight="1">
      <c r="A93" s="137" t="s">
        <v>724</v>
      </c>
      <c r="B93" s="137" t="e">
        <f>t6other3</f>
        <v>#REF!</v>
      </c>
    </row>
    <row r="94" spans="1:2" ht="12.75" customHeight="1">
      <c r="A94" s="137" t="s">
        <v>481</v>
      </c>
      <c r="B94" s="137" t="e">
        <f>Numecodet7</f>
        <v>#REF!</v>
      </c>
    </row>
    <row r="95" spans="1:2" ht="12.75" customHeight="1">
      <c r="A95" s="137" t="s">
        <v>482</v>
      </c>
      <c r="B95" s="137" t="e">
        <f>Numealtt7</f>
        <v>#REF!</v>
      </c>
    </row>
    <row r="96" spans="1:2" ht="12.75" customHeight="1">
      <c r="A96" s="137" t="s">
        <v>725</v>
      </c>
      <c r="B96" s="137" t="e">
        <f>JJCPAt7</f>
        <v>#REF!</v>
      </c>
    </row>
    <row r="97" spans="1:2" ht="12.75" customHeight="1">
      <c r="A97" s="137" t="s">
        <v>726</v>
      </c>
      <c r="B97" s="137" t="e">
        <f>Othert7</f>
        <v>#REF!</v>
      </c>
    </row>
    <row r="98" spans="1:2" ht="12.75" customHeight="1">
      <c r="A98" s="137" t="s">
        <v>513</v>
      </c>
      <c r="B98" s="139" t="e">
        <f>t7casecount</f>
        <v>#REF!</v>
      </c>
    </row>
    <row r="99" spans="1:2" ht="12.75" customHeight="1">
      <c r="A99" s="137" t="s">
        <v>514</v>
      </c>
      <c r="B99" s="142" t="e">
        <f>t7yobgpercap</f>
        <v>#REF!</v>
      </c>
    </row>
    <row r="100" spans="1:2" ht="12.75" customHeight="1">
      <c r="A100" s="137" t="s">
        <v>515</v>
      </c>
      <c r="B100" s="142" t="e">
        <f>t7totpercap</f>
        <v>#REF!</v>
      </c>
    </row>
    <row r="101" spans="1:2" ht="12.75" customHeight="1">
      <c r="A101" s="137" t="s">
        <v>727</v>
      </c>
      <c r="B101" s="137" t="e">
        <f>t7nar</f>
        <v>#REF!</v>
      </c>
    </row>
    <row r="102" spans="1:2" ht="12.75" customHeight="1">
      <c r="A102" s="137" t="s">
        <v>728</v>
      </c>
      <c r="B102" s="137" t="e">
        <f>t7goal</f>
        <v>#REF!</v>
      </c>
    </row>
    <row r="103" spans="1:2" ht="12.75" customHeight="1">
      <c r="A103" s="137" t="s">
        <v>729</v>
      </c>
      <c r="B103" s="137" t="e">
        <f>t7barrier</f>
        <v>#REF!</v>
      </c>
    </row>
    <row r="104" spans="1:2" ht="12.75" customHeight="1">
      <c r="A104" s="137" t="s">
        <v>730</v>
      </c>
      <c r="B104" s="137" t="e">
        <f>t7funds</f>
        <v>#REF!</v>
      </c>
    </row>
    <row r="105" spans="1:2" ht="12.75" customHeight="1">
      <c r="A105" s="137" t="s">
        <v>731</v>
      </c>
      <c r="B105" s="137" t="e">
        <f>t7other1</f>
        <v>#REF!</v>
      </c>
    </row>
    <row r="106" spans="1:2" ht="12.75" customHeight="1">
      <c r="A106" s="137" t="s">
        <v>732</v>
      </c>
      <c r="B106" s="137" t="e">
        <f>t7other2</f>
        <v>#REF!</v>
      </c>
    </row>
    <row r="107" spans="1:2" ht="12.75" customHeight="1">
      <c r="A107" s="137" t="s">
        <v>733</v>
      </c>
      <c r="B107" s="137" t="e">
        <f>t7other3</f>
        <v>#REF!</v>
      </c>
    </row>
    <row r="108" spans="1:2" ht="12.75" customHeight="1">
      <c r="A108" s="137" t="s">
        <v>522</v>
      </c>
      <c r="B108" s="137" t="e">
        <f>Numecodet8</f>
        <v>#REF!</v>
      </c>
    </row>
    <row r="109" spans="1:2" ht="12.75" customHeight="1">
      <c r="A109" s="137" t="s">
        <v>523</v>
      </c>
      <c r="B109" s="137" t="e">
        <f>Numealtt8</f>
        <v>#REF!</v>
      </c>
    </row>
    <row r="110" spans="1:2" ht="12.75" customHeight="1">
      <c r="A110" s="137" t="s">
        <v>734</v>
      </c>
      <c r="B110" s="137" t="e">
        <f>JJCPAt8</f>
        <v>#REF!</v>
      </c>
    </row>
    <row r="111" spans="1:2" ht="12.75" customHeight="1">
      <c r="A111" s="137" t="s">
        <v>735</v>
      </c>
      <c r="B111" s="137" t="e">
        <f>Othert8</f>
        <v>#REF!</v>
      </c>
    </row>
    <row r="112" spans="1:2" ht="12.75" customHeight="1">
      <c r="A112" s="137" t="s">
        <v>554</v>
      </c>
      <c r="B112" s="139" t="e">
        <f>t8casecount</f>
        <v>#REF!</v>
      </c>
    </row>
    <row r="113" spans="1:2" ht="12.75" customHeight="1">
      <c r="A113" s="137" t="s">
        <v>555</v>
      </c>
      <c r="B113" s="142" t="e">
        <f>t8yobgpercap</f>
        <v>#REF!</v>
      </c>
    </row>
    <row r="114" spans="1:2" ht="12.75" customHeight="1">
      <c r="A114" s="137" t="s">
        <v>556</v>
      </c>
      <c r="B114" s="142" t="e">
        <f>t8totpercap</f>
        <v>#REF!</v>
      </c>
    </row>
    <row r="115" spans="1:2" ht="12.75" customHeight="1">
      <c r="A115" s="137" t="s">
        <v>736</v>
      </c>
      <c r="B115" s="137" t="e">
        <f>t8nar</f>
        <v>#REF!</v>
      </c>
    </row>
    <row r="116" spans="1:2" ht="12.75" customHeight="1">
      <c r="A116" s="137" t="s">
        <v>737</v>
      </c>
      <c r="B116" s="137" t="e">
        <f>t8goal</f>
        <v>#REF!</v>
      </c>
    </row>
    <row r="117" spans="1:2" ht="12.75" customHeight="1">
      <c r="A117" s="137" t="s">
        <v>738</v>
      </c>
      <c r="B117" s="137" t="e">
        <f>t8barrier</f>
        <v>#REF!</v>
      </c>
    </row>
    <row r="118" spans="1:2" ht="12.75" customHeight="1">
      <c r="A118" s="137" t="s">
        <v>739</v>
      </c>
      <c r="B118" s="137" t="e">
        <f>t8funds</f>
        <v>#REF!</v>
      </c>
    </row>
    <row r="119" spans="1:2" ht="12.75" customHeight="1">
      <c r="A119" s="137" t="s">
        <v>740</v>
      </c>
      <c r="B119" s="137" t="e">
        <f>t8other1</f>
        <v>#REF!</v>
      </c>
    </row>
    <row r="120" spans="1:2" ht="12.75" customHeight="1">
      <c r="A120" s="137" t="s">
        <v>741</v>
      </c>
      <c r="B120" s="137" t="e">
        <f>t8other2</f>
        <v>#REF!</v>
      </c>
    </row>
    <row r="121" spans="1:2" ht="12.75" customHeight="1">
      <c r="A121" s="137" t="s">
        <v>742</v>
      </c>
      <c r="B121" s="137" t="e">
        <f>t8other3</f>
        <v>#REF!</v>
      </c>
    </row>
    <row r="122" spans="1:2" ht="12.75" customHeight="1">
      <c r="A122" s="137" t="s">
        <v>563</v>
      </c>
      <c r="B122" s="137" t="e">
        <f>Numecodet9</f>
        <v>#REF!</v>
      </c>
    </row>
    <row r="123" spans="1:2" ht="12.75" customHeight="1">
      <c r="A123" s="137" t="s">
        <v>564</v>
      </c>
      <c r="B123" s="137" t="e">
        <f>Numealtt9</f>
        <v>#REF!</v>
      </c>
    </row>
    <row r="124" spans="1:2" ht="12.75" customHeight="1">
      <c r="A124" s="137" t="s">
        <v>743</v>
      </c>
      <c r="B124" s="137" t="e">
        <f>JJCPAt9</f>
        <v>#REF!</v>
      </c>
    </row>
    <row r="125" spans="1:2" ht="12.75" customHeight="1">
      <c r="A125" s="137" t="s">
        <v>744</v>
      </c>
      <c r="B125" s="137" t="e">
        <f>Othert9</f>
        <v>#REF!</v>
      </c>
    </row>
    <row r="126" spans="1:2" ht="12.75" customHeight="1">
      <c r="A126" s="137" t="s">
        <v>595</v>
      </c>
      <c r="B126" s="139" t="e">
        <f>t9casecount</f>
        <v>#REF!</v>
      </c>
    </row>
    <row r="127" spans="1:2" ht="12.75" customHeight="1">
      <c r="A127" s="137" t="s">
        <v>596</v>
      </c>
      <c r="B127" s="142" t="e">
        <f>t9yobgpercap</f>
        <v>#REF!</v>
      </c>
    </row>
    <row r="128" spans="1:2" ht="12.75" customHeight="1">
      <c r="A128" s="137" t="s">
        <v>597</v>
      </c>
      <c r="B128" s="142" t="e">
        <f>t9totpercap</f>
        <v>#REF!</v>
      </c>
    </row>
    <row r="129" spans="1:2" ht="12.75" customHeight="1">
      <c r="A129" s="137" t="s">
        <v>745</v>
      </c>
      <c r="B129" s="137" t="e">
        <f>t9nar</f>
        <v>#REF!</v>
      </c>
    </row>
    <row r="130" spans="1:2" ht="12.75" customHeight="1">
      <c r="A130" s="137" t="s">
        <v>746</v>
      </c>
      <c r="B130" s="137" t="e">
        <f>t9goal</f>
        <v>#REF!</v>
      </c>
    </row>
    <row r="131" spans="1:2" ht="12.75" customHeight="1">
      <c r="A131" s="137" t="s">
        <v>747</v>
      </c>
      <c r="B131" s="137" t="e">
        <f>t9barrier</f>
        <v>#REF!</v>
      </c>
    </row>
    <row r="132" spans="1:2" ht="12.75" customHeight="1">
      <c r="A132" s="137" t="s">
        <v>748</v>
      </c>
      <c r="B132" s="137" t="e">
        <f>t9funds</f>
        <v>#REF!</v>
      </c>
    </row>
    <row r="133" spans="1:2" ht="12.75" customHeight="1">
      <c r="A133" s="137" t="s">
        <v>749</v>
      </c>
      <c r="B133" s="137" t="e">
        <f>t9other1</f>
        <v>#REF!</v>
      </c>
    </row>
    <row r="134" spans="1:2" ht="12.75" customHeight="1">
      <c r="A134" s="137" t="s">
        <v>750</v>
      </c>
      <c r="B134" s="137" t="e">
        <f>t9other2</f>
        <v>#REF!</v>
      </c>
    </row>
    <row r="135" spans="1:2" ht="12.75" customHeight="1">
      <c r="A135" s="137" t="s">
        <v>751</v>
      </c>
      <c r="B135" s="137" t="e">
        <f>t9other3</f>
        <v>#REF!</v>
      </c>
    </row>
    <row r="136" spans="1:2" ht="12.75" customHeight="1">
      <c r="A136" s="137" t="s">
        <v>604</v>
      </c>
      <c r="B136" s="137" t="e">
        <f>Numecodet10</f>
        <v>#REF!</v>
      </c>
    </row>
    <row r="137" spans="1:2" ht="12.75" customHeight="1">
      <c r="A137" s="137" t="s">
        <v>605</v>
      </c>
      <c r="B137" s="137" t="e">
        <f>Numealtt10</f>
        <v>#REF!</v>
      </c>
    </row>
    <row r="138" spans="1:2" ht="12.75" customHeight="1">
      <c r="A138" s="137" t="s">
        <v>752</v>
      </c>
      <c r="B138" s="137" t="e">
        <f>JJCPAt10</f>
        <v>#REF!</v>
      </c>
    </row>
    <row r="139" spans="1:2" ht="12.75" customHeight="1">
      <c r="A139" s="137" t="s">
        <v>753</v>
      </c>
      <c r="B139" s="137" t="e">
        <f>Othert10</f>
        <v>#REF!</v>
      </c>
    </row>
    <row r="140" spans="1:2" ht="12.75" customHeight="1">
      <c r="A140" s="137" t="s">
        <v>636</v>
      </c>
      <c r="B140" s="139" t="e">
        <f>t10casecount</f>
        <v>#REF!</v>
      </c>
    </row>
    <row r="141" spans="1:2" ht="12.75" customHeight="1">
      <c r="A141" s="137" t="s">
        <v>637</v>
      </c>
      <c r="B141" s="142" t="e">
        <f>t10yobgpercap</f>
        <v>#REF!</v>
      </c>
    </row>
    <row r="142" spans="1:2" ht="12.75" customHeight="1">
      <c r="A142" s="137" t="s">
        <v>638</v>
      </c>
      <c r="B142" s="142" t="e">
        <f>t10totpercap</f>
        <v>#REF!</v>
      </c>
    </row>
    <row r="143" spans="1:2" ht="12.75" customHeight="1">
      <c r="A143" s="137" t="s">
        <v>754</v>
      </c>
      <c r="B143" s="137" t="e">
        <f>t10nar</f>
        <v>#REF!</v>
      </c>
    </row>
    <row r="144" spans="1:2" ht="12.75" customHeight="1">
      <c r="A144" s="137" t="s">
        <v>755</v>
      </c>
      <c r="B144" s="137" t="e">
        <f>t10goal</f>
        <v>#REF!</v>
      </c>
    </row>
    <row r="145" spans="1:2" ht="12.75" customHeight="1">
      <c r="A145" s="137" t="s">
        <v>756</v>
      </c>
      <c r="B145" s="137" t="e">
        <f>t10barrier</f>
        <v>#REF!</v>
      </c>
    </row>
    <row r="146" spans="1:2" ht="12.75" customHeight="1">
      <c r="A146" s="137" t="s">
        <v>757</v>
      </c>
      <c r="B146" s="137" t="e">
        <f>t10funds</f>
        <v>#REF!</v>
      </c>
    </row>
    <row r="147" spans="1:2" ht="12.75" customHeight="1">
      <c r="A147" s="137" t="s">
        <v>758</v>
      </c>
      <c r="B147" s="137" t="e">
        <f>t10other1</f>
        <v>#REF!</v>
      </c>
    </row>
    <row r="148" spans="1:2" ht="12.75" customHeight="1">
      <c r="A148" s="137" t="s">
        <v>759</v>
      </c>
      <c r="B148" s="137" t="e">
        <f>t10other2</f>
        <v>#REF!</v>
      </c>
    </row>
    <row r="149" spans="1:2" ht="12.75" customHeight="1">
      <c r="A149" s="137" t="s">
        <v>760</v>
      </c>
      <c r="B149" s="137" t="e">
        <f>t10other3</f>
        <v>#REF!</v>
      </c>
    </row>
    <row r="150" spans="1:2" ht="12.75" customHeight="1">
      <c r="A150" s="33" t="s">
        <v>761</v>
      </c>
      <c r="B150" s="141" t="e">
        <f>totyobgexp</f>
        <v>#REF!</v>
      </c>
    </row>
    <row r="151" spans="1:2" ht="12.75" customHeight="1">
      <c r="A151" s="33" t="s">
        <v>762</v>
      </c>
      <c r="B151" s="141" t="e">
        <f>fy1314all</f>
        <v>#REF!</v>
      </c>
    </row>
    <row r="152" spans="1:2" ht="12.75" customHeight="1">
      <c r="A152" s="33" t="s">
        <v>763</v>
      </c>
      <c r="B152" s="141" t="e">
        <f>fy1213all</f>
        <v>#REF!</v>
      </c>
    </row>
    <row r="153" spans="1:2" ht="12.75" customHeight="1">
      <c r="A153" s="137" t="s">
        <v>764</v>
      </c>
      <c r="B153" s="141" t="e">
        <f>fy1112all</f>
        <v>#REF!</v>
      </c>
    </row>
    <row r="154" spans="1:2" ht="12.75" customHeight="1">
      <c r="A154" s="137" t="s">
        <v>765</v>
      </c>
      <c r="B154" s="141" t="e">
        <f>fy1011all</f>
        <v>#REF!</v>
      </c>
    </row>
    <row r="155" spans="1:2" ht="12.75" customHeight="1">
      <c r="A155" s="137" t="s">
        <v>766</v>
      </c>
      <c r="B155" s="141" t="e">
        <f>fy0910all</f>
        <v>#REF!</v>
      </c>
    </row>
    <row r="156" spans="1:2" ht="12.75" customHeight="1">
      <c r="A156" s="137" t="s">
        <v>767</v>
      </c>
      <c r="B156" s="141" t="e">
        <f>fy0809all</f>
        <v>#REF!</v>
      </c>
    </row>
    <row r="157" spans="1:2" ht="12.75" customHeight="1">
      <c r="A157" s="137" t="s">
        <v>768</v>
      </c>
      <c r="B157" s="141" t="e">
        <f>fy0708all</f>
        <v>#REF!</v>
      </c>
    </row>
    <row r="158" spans="1:2" ht="12.75" customHeight="1">
      <c r="A158" s="33" t="s">
        <v>769</v>
      </c>
      <c r="B158" s="141" t="e">
        <f>totforall</f>
        <v>#REF!</v>
      </c>
    </row>
    <row r="159" spans="1:2" ht="12.75" customHeight="1">
      <c r="A159" s="137" t="s">
        <v>770</v>
      </c>
      <c r="B159" s="141" t="e">
        <f>discrep</f>
        <v>#REF!</v>
      </c>
    </row>
    <row r="160" spans="1:2" ht="12.75" customHeight="1">
      <c r="A160" s="137" t="s">
        <v>771</v>
      </c>
      <c r="B160" s="137" t="e">
        <f>discexpl</f>
        <v>#REF!</v>
      </c>
    </row>
    <row r="161" spans="1:2" ht="12.75" customHeight="1">
      <c r="A161" s="137" t="s">
        <v>772</v>
      </c>
      <c r="B161" s="137" t="e">
        <f>Numecodet1</f>
        <v>#REF!</v>
      </c>
    </row>
    <row r="162" spans="1:2" ht="12.75" customHeight="1">
      <c r="A162" s="137" t="s">
        <v>773</v>
      </c>
      <c r="B162" s="137" t="e">
        <f>JJCPAt1</f>
        <v>#REF!</v>
      </c>
    </row>
    <row r="163" spans="1:2" ht="12.75" customHeight="1">
      <c r="A163" s="137" t="s">
        <v>774</v>
      </c>
      <c r="B163" s="141" t="e">
        <f>t1jjcpatot</f>
        <v>#REF!</v>
      </c>
    </row>
    <row r="164" spans="1:2" ht="12.75" customHeight="1">
      <c r="A164" s="137" t="s">
        <v>775</v>
      </c>
      <c r="B164" s="137" t="e">
        <f>Othert1</f>
        <v>#REF!</v>
      </c>
    </row>
    <row r="165" spans="1:2" ht="12.75" customHeight="1">
      <c r="A165" s="137" t="s">
        <v>776</v>
      </c>
      <c r="B165" s="141" t="e">
        <f>t1othertot</f>
        <v>#REF!</v>
      </c>
    </row>
    <row r="166" spans="1:2" ht="12.75" customHeight="1">
      <c r="A166" s="137" t="s">
        <v>777</v>
      </c>
      <c r="B166" s="137" t="e">
        <f>Numecodet2</f>
        <v>#REF!</v>
      </c>
    </row>
    <row r="167" spans="1:2" ht="12.75" customHeight="1">
      <c r="A167" s="137" t="s">
        <v>778</v>
      </c>
      <c r="B167" s="137" t="e">
        <f>JJCPAt2</f>
        <v>#REF!</v>
      </c>
    </row>
    <row r="168" spans="1:2" ht="12.75" customHeight="1">
      <c r="A168" s="137" t="s">
        <v>779</v>
      </c>
      <c r="B168" s="141" t="e">
        <f>t2jjcpatot</f>
        <v>#REF!</v>
      </c>
    </row>
    <row r="169" spans="1:2" ht="12.75" customHeight="1">
      <c r="A169" s="137" t="s">
        <v>780</v>
      </c>
      <c r="B169" s="137" t="e">
        <f>Othert2</f>
        <v>#REF!</v>
      </c>
    </row>
    <row r="170" spans="1:2" ht="12.75" customHeight="1">
      <c r="A170" s="137" t="s">
        <v>781</v>
      </c>
      <c r="B170" s="141" t="e">
        <f>t2othertot</f>
        <v>#REF!</v>
      </c>
    </row>
    <row r="171" spans="1:2" ht="12.75" customHeight="1">
      <c r="A171" s="137" t="s">
        <v>782</v>
      </c>
      <c r="B171" s="137" t="e">
        <f>Numecodet3</f>
        <v>#REF!</v>
      </c>
    </row>
    <row r="172" spans="1:2" ht="12.75" customHeight="1">
      <c r="A172" s="137" t="s">
        <v>783</v>
      </c>
      <c r="B172" s="137" t="e">
        <f>JJCPAt3</f>
        <v>#REF!</v>
      </c>
    </row>
    <row r="173" spans="1:2" ht="12.75" customHeight="1">
      <c r="A173" s="137" t="s">
        <v>784</v>
      </c>
      <c r="B173" s="141" t="e">
        <f>t3jjcpatot</f>
        <v>#REF!</v>
      </c>
    </row>
    <row r="174" spans="1:2" ht="12.75" customHeight="1">
      <c r="A174" s="137" t="s">
        <v>785</v>
      </c>
      <c r="B174" s="137" t="e">
        <f>Othert3</f>
        <v>#REF!</v>
      </c>
    </row>
    <row r="175" spans="1:2" ht="12.75" customHeight="1">
      <c r="A175" s="137" t="s">
        <v>786</v>
      </c>
      <c r="B175" s="141" t="e">
        <f>t3othertot</f>
        <v>#REF!</v>
      </c>
    </row>
    <row r="176" spans="1:2" ht="12.75" customHeight="1">
      <c r="A176" s="137" t="s">
        <v>787</v>
      </c>
      <c r="B176" s="137" t="e">
        <f>Numecodet4</f>
        <v>#REF!</v>
      </c>
    </row>
    <row r="177" spans="1:2" ht="12.75" customHeight="1">
      <c r="A177" s="137" t="s">
        <v>788</v>
      </c>
      <c r="B177" s="137" t="e">
        <f>JJCPAt4</f>
        <v>#REF!</v>
      </c>
    </row>
    <row r="178" spans="1:2" ht="12.75" customHeight="1">
      <c r="A178" s="137" t="s">
        <v>789</v>
      </c>
      <c r="B178" s="141" t="e">
        <f>t4jjcpatot</f>
        <v>#REF!</v>
      </c>
    </row>
    <row r="179" spans="1:2" ht="12.75" customHeight="1">
      <c r="A179" s="137" t="s">
        <v>790</v>
      </c>
      <c r="B179" s="137" t="e">
        <f>Othert4</f>
        <v>#REF!</v>
      </c>
    </row>
    <row r="180" spans="1:2" ht="12.75" customHeight="1">
      <c r="A180" s="137" t="s">
        <v>791</v>
      </c>
      <c r="B180" s="141" t="e">
        <f>t4othertot</f>
        <v>#REF!</v>
      </c>
    </row>
    <row r="181" spans="1:2" ht="12.75" customHeight="1">
      <c r="A181" s="137" t="s">
        <v>792</v>
      </c>
      <c r="B181" s="137" t="e">
        <f>Numecodet5</f>
        <v>#REF!</v>
      </c>
    </row>
    <row r="182" spans="1:2" ht="12.75" customHeight="1">
      <c r="A182" s="137" t="s">
        <v>793</v>
      </c>
      <c r="B182" s="137" t="e">
        <f>JJCPAt5</f>
        <v>#REF!</v>
      </c>
    </row>
    <row r="183" spans="1:2" ht="12.75" customHeight="1">
      <c r="A183" s="137" t="s">
        <v>794</v>
      </c>
      <c r="B183" s="141" t="e">
        <f>t5jjcpatot</f>
        <v>#REF!</v>
      </c>
    </row>
    <row r="184" spans="1:2" ht="12.75" customHeight="1">
      <c r="A184" s="137" t="s">
        <v>795</v>
      </c>
      <c r="B184" s="137" t="e">
        <f>Othert5</f>
        <v>#REF!</v>
      </c>
    </row>
    <row r="185" spans="1:2" ht="12.75" customHeight="1">
      <c r="A185" s="137" t="s">
        <v>796</v>
      </c>
      <c r="B185" s="141" t="e">
        <f>t5othertot</f>
        <v>#REF!</v>
      </c>
    </row>
    <row r="186" spans="1:2" ht="12.75" customHeight="1">
      <c r="A186" s="137" t="s">
        <v>797</v>
      </c>
      <c r="B186" s="137" t="e">
        <f>Numecodet6</f>
        <v>#REF!</v>
      </c>
    </row>
    <row r="187" spans="1:2" ht="12.75" customHeight="1">
      <c r="A187" s="137" t="s">
        <v>798</v>
      </c>
      <c r="B187" s="137" t="e">
        <f>JJCPAt6</f>
        <v>#REF!</v>
      </c>
    </row>
    <row r="188" spans="1:2" ht="12.75" customHeight="1">
      <c r="A188" s="137" t="s">
        <v>799</v>
      </c>
      <c r="B188" s="141" t="e">
        <f>t6jjcpatot</f>
        <v>#REF!</v>
      </c>
    </row>
    <row r="189" spans="1:2" ht="12.75" customHeight="1">
      <c r="A189" s="137" t="s">
        <v>800</v>
      </c>
      <c r="B189" s="137" t="e">
        <f>Othert6</f>
        <v>#REF!</v>
      </c>
    </row>
    <row r="190" spans="1:2" ht="12.75" customHeight="1">
      <c r="A190" s="137" t="s">
        <v>801</v>
      </c>
      <c r="B190" s="141" t="e">
        <f>t6othertot</f>
        <v>#REF!</v>
      </c>
    </row>
    <row r="191" spans="1:2" ht="12.75" customHeight="1">
      <c r="A191" s="137" t="s">
        <v>802</v>
      </c>
      <c r="B191" s="137" t="e">
        <f>Numecodet7</f>
        <v>#REF!</v>
      </c>
    </row>
    <row r="192" spans="1:2" ht="12.75" customHeight="1">
      <c r="A192" s="137" t="s">
        <v>803</v>
      </c>
      <c r="B192" s="137" t="e">
        <f>JJCPAt7</f>
        <v>#REF!</v>
      </c>
    </row>
    <row r="193" spans="1:2" ht="12.75" customHeight="1">
      <c r="A193" s="137" t="s">
        <v>804</v>
      </c>
      <c r="B193" s="141" t="e">
        <f>t7jjcpatot</f>
        <v>#REF!</v>
      </c>
    </row>
    <row r="194" spans="1:2" ht="12.75" customHeight="1">
      <c r="A194" s="137" t="s">
        <v>805</v>
      </c>
      <c r="B194" s="137" t="e">
        <f>Othert7</f>
        <v>#REF!</v>
      </c>
    </row>
    <row r="195" spans="1:2" ht="12.75" customHeight="1">
      <c r="A195" s="137" t="s">
        <v>806</v>
      </c>
      <c r="B195" s="141" t="e">
        <f>t7othertot</f>
        <v>#REF!</v>
      </c>
    </row>
    <row r="196" spans="1:2" ht="12.75" customHeight="1">
      <c r="A196" s="137" t="s">
        <v>807</v>
      </c>
      <c r="B196" s="137" t="e">
        <f>Numecodet8</f>
        <v>#REF!</v>
      </c>
    </row>
    <row r="197" spans="1:2" ht="12.75" customHeight="1">
      <c r="A197" s="137" t="s">
        <v>808</v>
      </c>
      <c r="B197" s="137" t="e">
        <f>JJCPAt8</f>
        <v>#REF!</v>
      </c>
    </row>
    <row r="198" spans="1:2" ht="12.75" customHeight="1">
      <c r="A198" s="137" t="s">
        <v>809</v>
      </c>
      <c r="B198" s="141" t="e">
        <f>t8jjcpatot</f>
        <v>#REF!</v>
      </c>
    </row>
    <row r="199" spans="1:2" ht="12.75" customHeight="1">
      <c r="A199" s="137" t="s">
        <v>810</v>
      </c>
      <c r="B199" s="137" t="e">
        <f>Othert8</f>
        <v>#REF!</v>
      </c>
    </row>
    <row r="200" spans="1:2" ht="12.75" customHeight="1">
      <c r="A200" s="137" t="s">
        <v>811</v>
      </c>
      <c r="B200" s="141" t="e">
        <f>t8othertot</f>
        <v>#REF!</v>
      </c>
    </row>
    <row r="201" spans="1:2" ht="12.75" customHeight="1">
      <c r="A201" s="137" t="s">
        <v>812</v>
      </c>
      <c r="B201" s="137" t="e">
        <f>Numecodet9</f>
        <v>#REF!</v>
      </c>
    </row>
    <row r="202" spans="1:2" ht="12.75" customHeight="1">
      <c r="A202" s="137" t="s">
        <v>813</v>
      </c>
      <c r="B202" s="137" t="e">
        <f>JJCPAt9</f>
        <v>#REF!</v>
      </c>
    </row>
    <row r="203" spans="1:2" ht="12.75" customHeight="1">
      <c r="A203" s="137" t="s">
        <v>814</v>
      </c>
      <c r="B203" s="141" t="e">
        <f>t9jjcpatot</f>
        <v>#REF!</v>
      </c>
    </row>
    <row r="204" spans="1:2" ht="12.75" customHeight="1">
      <c r="A204" s="137" t="s">
        <v>815</v>
      </c>
      <c r="B204" s="137" t="e">
        <f>Othert9</f>
        <v>#REF!</v>
      </c>
    </row>
    <row r="205" spans="1:2" ht="12.75" customHeight="1">
      <c r="A205" s="137" t="s">
        <v>816</v>
      </c>
      <c r="B205" s="141" t="e">
        <f>t9othertot</f>
        <v>#REF!</v>
      </c>
    </row>
    <row r="206" spans="1:2" ht="12.75" customHeight="1">
      <c r="A206" s="137" t="s">
        <v>817</v>
      </c>
      <c r="B206" s="137" t="e">
        <f>Numcodet10</f>
        <v>#REF!</v>
      </c>
    </row>
    <row r="207" spans="1:2" ht="12.75" customHeight="1">
      <c r="A207" s="137" t="s">
        <v>818</v>
      </c>
      <c r="B207" s="137" t="e">
        <f>JJCPAt10</f>
        <v>#REF!</v>
      </c>
    </row>
    <row r="208" spans="1:2" ht="12.75" customHeight="1">
      <c r="A208" s="137" t="s">
        <v>819</v>
      </c>
      <c r="B208" s="141" t="e">
        <f>t10jjcpatot</f>
        <v>#REF!</v>
      </c>
    </row>
    <row r="209" spans="1:2" ht="12.75" customHeight="1">
      <c r="A209" s="137" t="s">
        <v>820</v>
      </c>
      <c r="B209" s="137" t="e">
        <f>Othert10</f>
        <v>#REF!</v>
      </c>
    </row>
    <row r="210" spans="1:2" ht="12.75" customHeight="1">
      <c r="A210" s="137" t="s">
        <v>821</v>
      </c>
      <c r="B210" s="141"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37">
        <v>1</v>
      </c>
      <c r="B1" s="109" t="s">
        <v>72</v>
      </c>
      <c r="C1" s="137">
        <v>1</v>
      </c>
      <c r="D1" s="137" t="s">
        <v>822</v>
      </c>
    </row>
    <row r="2" spans="1:4" ht="12.75" customHeight="1">
      <c r="A2" s="137">
        <v>2</v>
      </c>
      <c r="B2" s="109" t="s">
        <v>74</v>
      </c>
      <c r="C2" s="137">
        <v>2</v>
      </c>
      <c r="D2" s="137" t="s">
        <v>823</v>
      </c>
    </row>
    <row r="3" spans="1:4" ht="12.75" customHeight="1">
      <c r="A3" s="137">
        <v>3</v>
      </c>
      <c r="B3" s="109" t="s">
        <v>76</v>
      </c>
      <c r="D3" s="137" t="s">
        <v>824</v>
      </c>
    </row>
    <row r="4" spans="1:4" ht="12.75" customHeight="1">
      <c r="A4" s="137">
        <v>4</v>
      </c>
      <c r="B4" s="109" t="s">
        <v>78</v>
      </c>
      <c r="D4" s="137" t="s">
        <v>825</v>
      </c>
    </row>
    <row r="5" spans="1:4" ht="12.75" customHeight="1">
      <c r="A5" s="137">
        <v>5</v>
      </c>
      <c r="B5" s="109" t="s">
        <v>73</v>
      </c>
      <c r="D5" s="137" t="s">
        <v>826</v>
      </c>
    </row>
    <row r="6" spans="1:4" ht="12.75" customHeight="1">
      <c r="A6" s="137">
        <v>6</v>
      </c>
      <c r="B6" s="109" t="s">
        <v>75</v>
      </c>
      <c r="D6" s="137" t="s">
        <v>827</v>
      </c>
    </row>
    <row r="7" spans="1:4" ht="12.75" customHeight="1">
      <c r="A7" s="137">
        <v>7</v>
      </c>
      <c r="B7" s="109" t="s">
        <v>77</v>
      </c>
      <c r="D7" s="137" t="s">
        <v>828</v>
      </c>
    </row>
    <row r="8" spans="1:4" ht="12.75" customHeight="1">
      <c r="A8" s="137">
        <v>8</v>
      </c>
      <c r="B8" s="109" t="s">
        <v>80</v>
      </c>
      <c r="D8" s="137" t="s">
        <v>829</v>
      </c>
    </row>
    <row r="9" spans="1:4" ht="12.75" customHeight="1">
      <c r="A9" s="137">
        <v>9</v>
      </c>
      <c r="B9" s="109" t="s">
        <v>83</v>
      </c>
      <c r="D9" s="137" t="s">
        <v>830</v>
      </c>
    </row>
    <row r="10" spans="1:4" ht="12.75" customHeight="1">
      <c r="A10" s="137">
        <v>10</v>
      </c>
      <c r="B10" s="109" t="s">
        <v>85</v>
      </c>
      <c r="D10" s="137" t="s">
        <v>831</v>
      </c>
    </row>
    <row r="11" spans="1:4" ht="12.75" customHeight="1">
      <c r="A11" s="137">
        <v>11</v>
      </c>
      <c r="B11" s="109" t="s">
        <v>87</v>
      </c>
      <c r="D11" s="137" t="s">
        <v>832</v>
      </c>
    </row>
    <row r="12" spans="1:4" ht="12.75" customHeight="1">
      <c r="A12" s="137">
        <v>12</v>
      </c>
      <c r="B12" s="109" t="s">
        <v>89</v>
      </c>
      <c r="D12" s="137" t="s">
        <v>833</v>
      </c>
    </row>
    <row r="13" spans="1:4" ht="12.75" customHeight="1">
      <c r="A13" s="137">
        <v>13</v>
      </c>
      <c r="B13" s="109" t="s">
        <v>91</v>
      </c>
      <c r="D13" s="137" t="s">
        <v>834</v>
      </c>
    </row>
    <row r="14" spans="1:4" ht="12.75" customHeight="1">
      <c r="A14" s="137">
        <v>14</v>
      </c>
      <c r="B14" s="109" t="s">
        <v>93</v>
      </c>
      <c r="D14" s="137" t="s">
        <v>835</v>
      </c>
    </row>
    <row r="15" spans="1:4" ht="12.75" customHeight="1">
      <c r="A15" s="137">
        <v>15</v>
      </c>
      <c r="B15" s="109" t="s">
        <v>95</v>
      </c>
      <c r="D15" s="137" t="s">
        <v>836</v>
      </c>
    </row>
    <row r="16" spans="1:4" ht="12.75" customHeight="1">
      <c r="A16" s="137">
        <v>16</v>
      </c>
      <c r="B16" s="109" t="s">
        <v>97</v>
      </c>
      <c r="D16" s="137" t="s">
        <v>837</v>
      </c>
    </row>
    <row r="17" spans="1:7" ht="12.75" customHeight="1">
      <c r="A17" s="137">
        <v>17</v>
      </c>
      <c r="B17" s="109" t="s">
        <v>99</v>
      </c>
      <c r="D17" s="137" t="s">
        <v>838</v>
      </c>
    </row>
    <row r="18" spans="1:7" ht="12.75" customHeight="1">
      <c r="A18" s="137">
        <v>18</v>
      </c>
      <c r="B18" s="109" t="s">
        <v>101</v>
      </c>
      <c r="D18" s="137" t="s">
        <v>839</v>
      </c>
    </row>
    <row r="19" spans="1:7" ht="12.75" customHeight="1">
      <c r="A19" s="137">
        <v>19</v>
      </c>
      <c r="B19" s="109" t="s">
        <v>103</v>
      </c>
      <c r="D19" s="137" t="s">
        <v>840</v>
      </c>
    </row>
    <row r="20" spans="1:7" ht="12.75" customHeight="1">
      <c r="A20" s="137">
        <v>20</v>
      </c>
      <c r="B20" s="109" t="s">
        <v>105</v>
      </c>
      <c r="D20" s="137" t="s">
        <v>841</v>
      </c>
    </row>
    <row r="21" spans="1:7" ht="12.75" customHeight="1">
      <c r="A21" s="137">
        <v>21</v>
      </c>
      <c r="B21" s="109" t="s">
        <v>107</v>
      </c>
      <c r="D21" s="137" t="s">
        <v>842</v>
      </c>
    </row>
    <row r="22" spans="1:7" ht="12.75" customHeight="1">
      <c r="A22" s="137">
        <v>22</v>
      </c>
      <c r="B22" s="109" t="s">
        <v>109</v>
      </c>
      <c r="D22" s="137" t="s">
        <v>843</v>
      </c>
    </row>
    <row r="23" spans="1:7" ht="12.75" customHeight="1">
      <c r="A23" s="137">
        <v>23</v>
      </c>
      <c r="B23" s="109" t="s">
        <v>111</v>
      </c>
      <c r="D23" s="137" t="s">
        <v>844</v>
      </c>
    </row>
    <row r="24" spans="1:7" ht="12.75" customHeight="1">
      <c r="A24" s="137">
        <v>24</v>
      </c>
      <c r="B24" s="109" t="s">
        <v>113</v>
      </c>
      <c r="D24" s="137" t="s">
        <v>845</v>
      </c>
      <c r="F24" s="15" t="s">
        <v>846</v>
      </c>
      <c r="G24" s="109" t="s">
        <v>847</v>
      </c>
    </row>
    <row r="25" spans="1:7" ht="12.75" customHeight="1">
      <c r="A25" s="137">
        <v>25</v>
      </c>
      <c r="B25" s="109" t="s">
        <v>115</v>
      </c>
      <c r="D25" s="137" t="s">
        <v>848</v>
      </c>
      <c r="F25" s="15" t="s">
        <v>849</v>
      </c>
      <c r="G25" s="143" t="s">
        <v>850</v>
      </c>
    </row>
    <row r="26" spans="1:7" ht="12.75" customHeight="1">
      <c r="A26" s="137">
        <v>26</v>
      </c>
      <c r="B26" s="109" t="s">
        <v>172</v>
      </c>
      <c r="D26" s="137" t="s">
        <v>851</v>
      </c>
      <c r="G26" s="143" t="s">
        <v>852</v>
      </c>
    </row>
    <row r="27" spans="1:7" ht="12.75" customHeight="1">
      <c r="A27" s="137">
        <v>27</v>
      </c>
      <c r="B27" s="109" t="s">
        <v>86</v>
      </c>
      <c r="D27" s="137" t="s">
        <v>853</v>
      </c>
      <c r="G27" s="143" t="s">
        <v>854</v>
      </c>
    </row>
    <row r="28" spans="1:7" ht="12.75" customHeight="1">
      <c r="A28" s="137">
        <v>28</v>
      </c>
      <c r="B28" s="109" t="s">
        <v>88</v>
      </c>
      <c r="D28" s="137" t="s">
        <v>855</v>
      </c>
      <c r="G28" s="143" t="s">
        <v>856</v>
      </c>
    </row>
    <row r="29" spans="1:7" ht="12.75" customHeight="1">
      <c r="A29" s="137">
        <v>29</v>
      </c>
      <c r="B29" s="109" t="s">
        <v>90</v>
      </c>
      <c r="D29" s="137" t="s">
        <v>857</v>
      </c>
      <c r="G29" s="143" t="s">
        <v>858</v>
      </c>
    </row>
    <row r="30" spans="1:7" ht="12.75" customHeight="1">
      <c r="A30" s="137">
        <v>30</v>
      </c>
      <c r="B30" s="109" t="s">
        <v>92</v>
      </c>
      <c r="D30" s="137" t="s">
        <v>859</v>
      </c>
      <c r="G30" s="143" t="s">
        <v>860</v>
      </c>
    </row>
    <row r="31" spans="1:7" ht="12.75" customHeight="1">
      <c r="A31" s="137">
        <v>31</v>
      </c>
      <c r="B31" s="109" t="s">
        <v>94</v>
      </c>
      <c r="D31" s="137" t="s">
        <v>861</v>
      </c>
      <c r="G31" s="143" t="s">
        <v>862</v>
      </c>
    </row>
    <row r="32" spans="1:7" ht="12.75" customHeight="1">
      <c r="A32" s="137">
        <v>32</v>
      </c>
      <c r="B32" s="109" t="s">
        <v>96</v>
      </c>
      <c r="D32" s="137" t="s">
        <v>863</v>
      </c>
      <c r="G32" s="143" t="s">
        <v>864</v>
      </c>
    </row>
    <row r="33" spans="1:7" ht="12.75" customHeight="1">
      <c r="A33" s="137">
        <v>33</v>
      </c>
      <c r="B33" s="109" t="s">
        <v>98</v>
      </c>
      <c r="D33" s="137" t="s">
        <v>865</v>
      </c>
      <c r="G33" s="143" t="s">
        <v>866</v>
      </c>
    </row>
    <row r="34" spans="1:7" ht="12.75" customHeight="1">
      <c r="A34" s="137">
        <v>34</v>
      </c>
      <c r="B34" s="109" t="s">
        <v>100</v>
      </c>
      <c r="D34" s="137" t="s">
        <v>867</v>
      </c>
      <c r="G34" s="143" t="s">
        <v>868</v>
      </c>
    </row>
    <row r="35" spans="1:7" ht="12.75" customHeight="1">
      <c r="A35" s="137">
        <v>35</v>
      </c>
      <c r="B35" s="109" t="s">
        <v>102</v>
      </c>
      <c r="D35" s="137" t="s">
        <v>869</v>
      </c>
      <c r="G35" s="143" t="s">
        <v>870</v>
      </c>
    </row>
    <row r="36" spans="1:7" ht="12.75" customHeight="1">
      <c r="A36" s="137">
        <v>36</v>
      </c>
      <c r="B36" s="109" t="s">
        <v>104</v>
      </c>
      <c r="D36" s="137" t="s">
        <v>871</v>
      </c>
      <c r="G36" s="143" t="s">
        <v>872</v>
      </c>
    </row>
    <row r="37" spans="1:7" ht="12.75" customHeight="1">
      <c r="A37" s="137">
        <v>37</v>
      </c>
      <c r="B37" s="109" t="s">
        <v>106</v>
      </c>
      <c r="D37" s="137" t="s">
        <v>873</v>
      </c>
      <c r="G37" s="143" t="s">
        <v>874</v>
      </c>
    </row>
    <row r="38" spans="1:7" ht="12.75" customHeight="1">
      <c r="A38" s="137">
        <v>38</v>
      </c>
      <c r="B38" s="109" t="s">
        <v>108</v>
      </c>
      <c r="D38" s="137" t="s">
        <v>875</v>
      </c>
      <c r="G38" s="143" t="s">
        <v>876</v>
      </c>
    </row>
    <row r="39" spans="1:7" ht="12.75" customHeight="1">
      <c r="A39" s="137">
        <v>39</v>
      </c>
      <c r="B39" s="109" t="s">
        <v>110</v>
      </c>
      <c r="D39" s="137" t="s">
        <v>877</v>
      </c>
      <c r="G39" s="143" t="s">
        <v>878</v>
      </c>
    </row>
    <row r="40" spans="1:7" ht="12.75" customHeight="1">
      <c r="A40" s="137">
        <v>40</v>
      </c>
      <c r="B40" s="109" t="s">
        <v>112</v>
      </c>
      <c r="D40" s="137" t="s">
        <v>879</v>
      </c>
      <c r="G40" s="143" t="s">
        <v>880</v>
      </c>
    </row>
    <row r="41" spans="1:7" ht="12.75" customHeight="1">
      <c r="A41" s="137">
        <v>41</v>
      </c>
      <c r="B41" s="109" t="s">
        <v>114</v>
      </c>
      <c r="D41" s="137" t="s">
        <v>881</v>
      </c>
      <c r="G41" s="143" t="s">
        <v>882</v>
      </c>
    </row>
    <row r="42" spans="1:7" ht="12.75" customHeight="1">
      <c r="A42" s="137">
        <v>42</v>
      </c>
      <c r="B42" s="109" t="s">
        <v>116</v>
      </c>
      <c r="D42" s="137" t="s">
        <v>883</v>
      </c>
      <c r="G42" s="143" t="s">
        <v>50</v>
      </c>
    </row>
    <row r="43" spans="1:7" ht="12.75" customHeight="1">
      <c r="A43" s="137">
        <v>43</v>
      </c>
      <c r="B43" s="109" t="s">
        <v>117</v>
      </c>
      <c r="D43" s="137" t="s">
        <v>884</v>
      </c>
    </row>
    <row r="44" spans="1:7" ht="12.75" customHeight="1">
      <c r="A44" s="137">
        <v>44</v>
      </c>
      <c r="B44" s="109" t="s">
        <v>117</v>
      </c>
      <c r="D44" s="137" t="s">
        <v>885</v>
      </c>
    </row>
    <row r="45" spans="1:7" ht="12.75" customHeight="1">
      <c r="A45" s="137">
        <v>45</v>
      </c>
      <c r="B45" s="109" t="s">
        <v>119</v>
      </c>
      <c r="D45" s="137" t="s">
        <v>886</v>
      </c>
    </row>
    <row r="46" spans="1:7" ht="12.75" customHeight="1">
      <c r="A46" s="137">
        <v>46</v>
      </c>
      <c r="B46" s="109" t="s">
        <v>122</v>
      </c>
      <c r="D46" s="137" t="s">
        <v>887</v>
      </c>
    </row>
    <row r="47" spans="1:7" ht="12.75" customHeight="1">
      <c r="A47" s="137">
        <v>47</v>
      </c>
      <c r="B47" s="109" t="s">
        <v>125</v>
      </c>
      <c r="D47" s="137" t="s">
        <v>888</v>
      </c>
    </row>
    <row r="48" spans="1:7" ht="12.75" customHeight="1">
      <c r="A48" s="137">
        <v>48</v>
      </c>
      <c r="B48" s="109" t="s">
        <v>128</v>
      </c>
      <c r="D48" s="137" t="s">
        <v>889</v>
      </c>
    </row>
    <row r="49" spans="1:4" ht="12.75" customHeight="1">
      <c r="A49" s="137">
        <v>49</v>
      </c>
      <c r="B49" s="109" t="s">
        <v>120</v>
      </c>
      <c r="D49" s="137" t="s">
        <v>890</v>
      </c>
    </row>
    <row r="50" spans="1:4" ht="12.75" customHeight="1">
      <c r="A50" s="137">
        <v>50</v>
      </c>
      <c r="B50" s="109" t="s">
        <v>123</v>
      </c>
      <c r="D50" s="137" t="s">
        <v>891</v>
      </c>
    </row>
    <row r="51" spans="1:4" ht="12.75" customHeight="1">
      <c r="A51" s="137">
        <v>51</v>
      </c>
      <c r="B51" s="109" t="s">
        <v>50</v>
      </c>
      <c r="D51" s="137" t="s">
        <v>892</v>
      </c>
    </row>
    <row r="52" spans="1:4" ht="12.75" customHeight="1">
      <c r="A52" s="137">
        <v>52</v>
      </c>
      <c r="B52" s="109" t="s">
        <v>126</v>
      </c>
      <c r="D52" s="137" t="s">
        <v>893</v>
      </c>
    </row>
    <row r="53" spans="1:4" ht="12.75" customHeight="1">
      <c r="D53" s="137" t="s">
        <v>894</v>
      </c>
    </row>
    <row r="54" spans="1:4" ht="12.75" customHeight="1">
      <c r="D54" s="137" t="s">
        <v>895</v>
      </c>
    </row>
    <row r="55" spans="1:4" ht="12.75" customHeight="1">
      <c r="D55" s="137" t="s">
        <v>896</v>
      </c>
    </row>
    <row r="56" spans="1:4" ht="12.75" customHeight="1">
      <c r="D56" s="137" t="s">
        <v>897</v>
      </c>
    </row>
    <row r="57" spans="1:4" ht="12.75" customHeight="1">
      <c r="D57" s="137" t="s">
        <v>898</v>
      </c>
    </row>
    <row r="58" spans="1:4" ht="12.75" customHeight="1">
      <c r="D58" s="137" t="s">
        <v>899</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37" t="s">
        <v>215</v>
      </c>
      <c r="B1" s="137" t="s">
        <v>216</v>
      </c>
      <c r="C1" s="137" t="s">
        <v>217</v>
      </c>
      <c r="D1" s="137" t="s">
        <v>218</v>
      </c>
      <c r="E1" s="137" t="s">
        <v>219</v>
      </c>
      <c r="F1" s="137" t="s">
        <v>220</v>
      </c>
      <c r="G1" s="137" t="s">
        <v>221</v>
      </c>
      <c r="H1" s="137" t="s">
        <v>222</v>
      </c>
      <c r="I1" s="137" t="s">
        <v>223</v>
      </c>
      <c r="J1" s="137" t="s">
        <v>224</v>
      </c>
      <c r="K1" s="137" t="s">
        <v>225</v>
      </c>
      <c r="L1" s="137" t="s">
        <v>226</v>
      </c>
      <c r="M1" s="137" t="s">
        <v>227</v>
      </c>
      <c r="N1" s="137" t="s">
        <v>228</v>
      </c>
      <c r="O1" s="137" t="s">
        <v>229</v>
      </c>
      <c r="P1" s="137" t="s">
        <v>230</v>
      </c>
      <c r="Q1" s="137" t="s">
        <v>231</v>
      </c>
      <c r="R1" s="137" t="s">
        <v>232</v>
      </c>
      <c r="S1" s="137" t="s">
        <v>233</v>
      </c>
      <c r="T1" s="137" t="s">
        <v>234</v>
      </c>
      <c r="U1" s="137" t="s">
        <v>235</v>
      </c>
      <c r="V1" s="137" t="s">
        <v>236</v>
      </c>
      <c r="W1" s="137" t="s">
        <v>237</v>
      </c>
      <c r="X1" s="137" t="s">
        <v>238</v>
      </c>
      <c r="Y1" s="137" t="s">
        <v>239</v>
      </c>
      <c r="Z1" s="137" t="s">
        <v>240</v>
      </c>
      <c r="AA1" s="137" t="s">
        <v>241</v>
      </c>
      <c r="AB1" s="137" t="s">
        <v>242</v>
      </c>
      <c r="AC1" s="137" t="s">
        <v>243</v>
      </c>
      <c r="AD1" s="137" t="s">
        <v>244</v>
      </c>
      <c r="AE1" s="137" t="s">
        <v>245</v>
      </c>
      <c r="AF1" s="137" t="s">
        <v>246</v>
      </c>
      <c r="AG1" s="137" t="s">
        <v>247</v>
      </c>
      <c r="AH1" s="137" t="s">
        <v>248</v>
      </c>
      <c r="AI1" s="137" t="s">
        <v>249</v>
      </c>
      <c r="AJ1" s="137" t="s">
        <v>250</v>
      </c>
      <c r="AK1" s="137" t="s">
        <v>251</v>
      </c>
      <c r="AL1" s="137" t="s">
        <v>252</v>
      </c>
      <c r="AM1" s="137" t="s">
        <v>253</v>
      </c>
      <c r="AN1" s="137" t="s">
        <v>254</v>
      </c>
      <c r="AO1" s="137" t="s">
        <v>255</v>
      </c>
      <c r="AP1" s="137" t="s">
        <v>256</v>
      </c>
      <c r="AQ1" s="137" t="s">
        <v>257</v>
      </c>
      <c r="AR1" s="137" t="s">
        <v>258</v>
      </c>
      <c r="AS1" s="137" t="s">
        <v>259</v>
      </c>
      <c r="AT1" s="137" t="s">
        <v>260</v>
      </c>
      <c r="AU1" s="137" t="s">
        <v>261</v>
      </c>
      <c r="AV1" s="137" t="s">
        <v>262</v>
      </c>
      <c r="AW1" s="137" t="s">
        <v>263</v>
      </c>
      <c r="AX1" s="137" t="s">
        <v>264</v>
      </c>
      <c r="AY1" s="137" t="s">
        <v>265</v>
      </c>
      <c r="AZ1" s="137" t="s">
        <v>266</v>
      </c>
      <c r="BA1" s="137" t="s">
        <v>267</v>
      </c>
      <c r="BB1" s="137" t="s">
        <v>268</v>
      </c>
      <c r="BC1" s="137" t="s">
        <v>269</v>
      </c>
      <c r="BD1" s="137" t="s">
        <v>270</v>
      </c>
      <c r="BE1" s="137" t="s">
        <v>271</v>
      </c>
      <c r="BF1" s="137" t="s">
        <v>272</v>
      </c>
      <c r="BG1" s="137" t="s">
        <v>273</v>
      </c>
      <c r="BH1" s="137" t="s">
        <v>274</v>
      </c>
      <c r="BI1" s="137" t="s">
        <v>275</v>
      </c>
      <c r="BJ1" s="137" t="s">
        <v>276</v>
      </c>
      <c r="BK1" s="137" t="s">
        <v>277</v>
      </c>
      <c r="BL1" s="137" t="s">
        <v>278</v>
      </c>
      <c r="BM1" s="137" t="s">
        <v>279</v>
      </c>
      <c r="BN1" s="137" t="s">
        <v>280</v>
      </c>
      <c r="BO1" s="137" t="s">
        <v>281</v>
      </c>
      <c r="BP1" s="137" t="s">
        <v>282</v>
      </c>
      <c r="BQ1" s="137" t="s">
        <v>283</v>
      </c>
      <c r="BR1" s="137" t="s">
        <v>284</v>
      </c>
      <c r="BS1" s="137" t="s">
        <v>285</v>
      </c>
      <c r="BT1" s="137" t="s">
        <v>286</v>
      </c>
      <c r="BU1" s="137" t="s">
        <v>287</v>
      </c>
      <c r="BV1" s="137" t="s">
        <v>288</v>
      </c>
      <c r="BW1" s="137" t="s">
        <v>289</v>
      </c>
      <c r="BX1" s="137" t="s">
        <v>290</v>
      </c>
      <c r="BY1" s="137" t="s">
        <v>291</v>
      </c>
      <c r="BZ1" s="137" t="s">
        <v>292</v>
      </c>
      <c r="CA1" s="137" t="s">
        <v>293</v>
      </c>
      <c r="CB1" s="137" t="s">
        <v>294</v>
      </c>
      <c r="CC1" s="137" t="s">
        <v>295</v>
      </c>
      <c r="CD1" s="137" t="s">
        <v>296</v>
      </c>
      <c r="CE1" s="137" t="s">
        <v>297</v>
      </c>
      <c r="CF1" s="137" t="s">
        <v>298</v>
      </c>
      <c r="CG1" s="137" t="s">
        <v>299</v>
      </c>
      <c r="CH1" s="137" t="s">
        <v>300</v>
      </c>
      <c r="CI1" s="137" t="s">
        <v>301</v>
      </c>
      <c r="CJ1" s="137" t="s">
        <v>302</v>
      </c>
      <c r="CK1" s="137" t="s">
        <v>303</v>
      </c>
      <c r="CL1" s="137" t="s">
        <v>304</v>
      </c>
      <c r="CM1" s="137" t="s">
        <v>305</v>
      </c>
      <c r="CN1" s="137" t="s">
        <v>306</v>
      </c>
      <c r="CO1" s="137" t="s">
        <v>307</v>
      </c>
      <c r="CP1" s="137" t="s">
        <v>308</v>
      </c>
      <c r="CQ1" s="137" t="s">
        <v>309</v>
      </c>
      <c r="CR1" s="137" t="s">
        <v>310</v>
      </c>
      <c r="CS1" s="137" t="s">
        <v>311</v>
      </c>
      <c r="CT1" s="137" t="s">
        <v>312</v>
      </c>
      <c r="CU1" s="137" t="s">
        <v>313</v>
      </c>
      <c r="CV1" s="137" t="s">
        <v>314</v>
      </c>
      <c r="CW1" s="137" t="s">
        <v>315</v>
      </c>
      <c r="CX1" s="137" t="s">
        <v>316</v>
      </c>
      <c r="CY1" s="137" t="s">
        <v>317</v>
      </c>
      <c r="CZ1" s="137" t="s">
        <v>318</v>
      </c>
      <c r="DA1" s="137" t="s">
        <v>319</v>
      </c>
      <c r="DB1" s="137" t="s">
        <v>320</v>
      </c>
      <c r="DC1" s="137" t="s">
        <v>321</v>
      </c>
      <c r="DD1" s="137" t="s">
        <v>322</v>
      </c>
      <c r="DE1" s="137" t="s">
        <v>323</v>
      </c>
      <c r="DF1" s="137" t="s">
        <v>324</v>
      </c>
      <c r="DG1" s="137" t="s">
        <v>325</v>
      </c>
      <c r="DH1" s="137" t="s">
        <v>326</v>
      </c>
      <c r="DI1" s="137" t="s">
        <v>327</v>
      </c>
      <c r="DJ1" s="137" t="s">
        <v>328</v>
      </c>
      <c r="DK1" s="137" t="s">
        <v>329</v>
      </c>
      <c r="DL1" s="137" t="s">
        <v>330</v>
      </c>
      <c r="DM1" s="137" t="s">
        <v>331</v>
      </c>
      <c r="DN1" s="137" t="s">
        <v>332</v>
      </c>
      <c r="DO1" s="137" t="s">
        <v>333</v>
      </c>
      <c r="DP1" s="137" t="s">
        <v>334</v>
      </c>
      <c r="DQ1" s="137" t="s">
        <v>335</v>
      </c>
      <c r="DR1" s="137" t="s">
        <v>336</v>
      </c>
      <c r="DS1" s="137" t="s">
        <v>337</v>
      </c>
      <c r="DT1" s="137" t="s">
        <v>338</v>
      </c>
      <c r="DU1" s="137" t="s">
        <v>339</v>
      </c>
      <c r="DV1" s="137" t="s">
        <v>340</v>
      </c>
      <c r="DW1" s="137" t="s">
        <v>341</v>
      </c>
      <c r="DX1" s="137" t="s">
        <v>342</v>
      </c>
      <c r="DY1" s="137" t="s">
        <v>343</v>
      </c>
      <c r="DZ1" s="137" t="s">
        <v>344</v>
      </c>
      <c r="EA1" s="137" t="s">
        <v>345</v>
      </c>
      <c r="EB1" s="137" t="s">
        <v>346</v>
      </c>
      <c r="EC1" s="137" t="s">
        <v>347</v>
      </c>
      <c r="ED1" s="137" t="s">
        <v>348</v>
      </c>
      <c r="EE1" s="137" t="s">
        <v>349</v>
      </c>
      <c r="EF1" s="137" t="s">
        <v>350</v>
      </c>
      <c r="EG1" s="137" t="s">
        <v>351</v>
      </c>
      <c r="EH1" s="137" t="s">
        <v>352</v>
      </c>
      <c r="EI1" s="137" t="s">
        <v>353</v>
      </c>
      <c r="EJ1" s="137" t="s">
        <v>354</v>
      </c>
      <c r="EK1" s="137" t="s">
        <v>355</v>
      </c>
      <c r="EL1" s="137" t="s">
        <v>356</v>
      </c>
      <c r="EM1" s="137" t="s">
        <v>357</v>
      </c>
      <c r="EN1" s="137" t="s">
        <v>358</v>
      </c>
      <c r="EO1" s="137" t="s">
        <v>359</v>
      </c>
      <c r="EP1" s="137" t="s">
        <v>360</v>
      </c>
      <c r="EQ1" s="137" t="s">
        <v>361</v>
      </c>
      <c r="ER1" s="137" t="s">
        <v>362</v>
      </c>
      <c r="ES1" s="137" t="s">
        <v>363</v>
      </c>
      <c r="ET1" s="137" t="s">
        <v>364</v>
      </c>
      <c r="EU1" s="137" t="s">
        <v>365</v>
      </c>
      <c r="EV1" s="137" t="s">
        <v>366</v>
      </c>
      <c r="EW1" s="137" t="s">
        <v>367</v>
      </c>
      <c r="EX1" s="137" t="s">
        <v>368</v>
      </c>
      <c r="EY1" s="137" t="s">
        <v>369</v>
      </c>
      <c r="EZ1" s="137" t="s">
        <v>370</v>
      </c>
      <c r="FA1" s="137" t="s">
        <v>371</v>
      </c>
      <c r="FB1" s="137" t="s">
        <v>372</v>
      </c>
      <c r="FC1" s="137" t="s">
        <v>373</v>
      </c>
      <c r="FD1" s="137" t="s">
        <v>374</v>
      </c>
      <c r="FE1" s="137" t="s">
        <v>375</v>
      </c>
      <c r="FF1" s="137" t="s">
        <v>376</v>
      </c>
      <c r="FG1" s="137" t="s">
        <v>377</v>
      </c>
      <c r="FH1" s="137" t="s">
        <v>378</v>
      </c>
      <c r="FI1" s="137" t="s">
        <v>379</v>
      </c>
      <c r="FJ1" s="137" t="s">
        <v>380</v>
      </c>
      <c r="FK1" s="137" t="s">
        <v>381</v>
      </c>
      <c r="FL1" s="137" t="s">
        <v>382</v>
      </c>
      <c r="FM1" s="137" t="s">
        <v>383</v>
      </c>
      <c r="FN1" s="137" t="s">
        <v>384</v>
      </c>
      <c r="FO1" s="137" t="s">
        <v>385</v>
      </c>
      <c r="FP1" s="137" t="s">
        <v>386</v>
      </c>
      <c r="FQ1" s="137" t="s">
        <v>387</v>
      </c>
      <c r="FR1" s="137" t="s">
        <v>388</v>
      </c>
      <c r="FS1" s="137" t="s">
        <v>389</v>
      </c>
      <c r="FT1" s="137" t="s">
        <v>390</v>
      </c>
      <c r="FU1" s="137" t="s">
        <v>391</v>
      </c>
      <c r="FV1" s="137" t="s">
        <v>392</v>
      </c>
      <c r="FW1" s="137" t="s">
        <v>393</v>
      </c>
      <c r="FX1" s="137" t="s">
        <v>394</v>
      </c>
      <c r="FY1" s="137" t="s">
        <v>395</v>
      </c>
      <c r="FZ1" s="137" t="s">
        <v>396</v>
      </c>
      <c r="GA1" s="137" t="s">
        <v>397</v>
      </c>
      <c r="GB1" s="137" t="s">
        <v>398</v>
      </c>
      <c r="GC1" s="137" t="s">
        <v>399</v>
      </c>
      <c r="GD1" s="137" t="s">
        <v>400</v>
      </c>
      <c r="GE1" s="137" t="s">
        <v>401</v>
      </c>
      <c r="GF1" s="137" t="s">
        <v>402</v>
      </c>
      <c r="GG1" s="137" t="s">
        <v>403</v>
      </c>
      <c r="GH1" s="137" t="s">
        <v>404</v>
      </c>
      <c r="GI1" s="137" t="s">
        <v>405</v>
      </c>
      <c r="GJ1" s="137" t="s">
        <v>406</v>
      </c>
      <c r="GK1" s="137" t="s">
        <v>407</v>
      </c>
      <c r="GL1" s="137" t="s">
        <v>408</v>
      </c>
      <c r="GM1" s="137" t="s">
        <v>409</v>
      </c>
      <c r="GN1" s="137" t="s">
        <v>410</v>
      </c>
      <c r="GO1" s="137" t="s">
        <v>411</v>
      </c>
      <c r="GP1" s="137" t="s">
        <v>412</v>
      </c>
      <c r="GQ1" s="137" t="s">
        <v>413</v>
      </c>
      <c r="GR1" s="137" t="s">
        <v>414</v>
      </c>
      <c r="GS1" s="137" t="s">
        <v>415</v>
      </c>
      <c r="GT1" s="137" t="s">
        <v>416</v>
      </c>
      <c r="GU1" s="137" t="s">
        <v>417</v>
      </c>
      <c r="GV1" s="137" t="s">
        <v>418</v>
      </c>
      <c r="GW1" s="137" t="s">
        <v>419</v>
      </c>
      <c r="GX1" s="137" t="s">
        <v>420</v>
      </c>
      <c r="GY1" s="137" t="s">
        <v>421</v>
      </c>
      <c r="GZ1" s="137" t="s">
        <v>422</v>
      </c>
      <c r="HA1" s="137" t="s">
        <v>423</v>
      </c>
      <c r="HB1" s="137" t="s">
        <v>424</v>
      </c>
      <c r="HC1" s="137" t="s">
        <v>425</v>
      </c>
      <c r="HD1" s="137" t="s">
        <v>426</v>
      </c>
      <c r="HE1" s="137" t="s">
        <v>427</v>
      </c>
      <c r="HF1" s="137" t="s">
        <v>428</v>
      </c>
      <c r="HG1" s="137" t="s">
        <v>429</v>
      </c>
      <c r="HH1" s="137" t="s">
        <v>430</v>
      </c>
      <c r="HI1" s="137" t="s">
        <v>431</v>
      </c>
      <c r="HJ1" s="137" t="s">
        <v>432</v>
      </c>
      <c r="HK1" s="137" t="s">
        <v>433</v>
      </c>
      <c r="HL1" s="137" t="s">
        <v>434</v>
      </c>
      <c r="HM1" s="137" t="s">
        <v>435</v>
      </c>
      <c r="HN1" s="137" t="s">
        <v>436</v>
      </c>
      <c r="HO1" s="137" t="s">
        <v>437</v>
      </c>
      <c r="HP1" s="137" t="s">
        <v>438</v>
      </c>
      <c r="HQ1" s="137" t="s">
        <v>439</v>
      </c>
    </row>
    <row r="2" spans="1:225" ht="12.75" customHeight="1">
      <c r="A2" s="16" t="str">
        <f>County</f>
        <v>Yolo</v>
      </c>
      <c r="B2" s="138">
        <f>Reportdate</f>
        <v>45558</v>
      </c>
      <c r="C2" s="33" t="e">
        <f>Chief</f>
        <v>#REF!</v>
      </c>
      <c r="D2" s="137" t="e">
        <f>Chiefphone2</f>
        <v>#REF!</v>
      </c>
      <c r="E2" s="137" t="e">
        <f>Address</f>
        <v>#REF!</v>
      </c>
      <c r="F2" s="137" t="e">
        <f>City</f>
        <v>#REF!</v>
      </c>
      <c r="G2" s="139" t="e">
        <f>ZIP</f>
        <v>#REF!</v>
      </c>
      <c r="H2" s="137" t="e">
        <f>Chiefemail2</f>
        <v>#REF!</v>
      </c>
      <c r="I2" s="137" t="str">
        <f>primcontact</f>
        <v>Rachelle Gayton</v>
      </c>
      <c r="J2" s="137" t="str">
        <f>primarytitle</f>
        <v>Probation Division Manager of Administration</v>
      </c>
      <c r="K2" s="137" t="str">
        <f>primphone</f>
        <v>(530) 406-5358</v>
      </c>
      <c r="L2" s="137" t="str">
        <f>preemail</f>
        <v>Rachelle.Gayton@YoloCounty.gov</v>
      </c>
      <c r="M2" s="140" t="str">
        <f>seccontact</f>
        <v>AnnMarie Boylan</v>
      </c>
      <c r="N2" s="140" t="str">
        <f>seccontitle</f>
        <v>Fiscal Administrative Officer</v>
      </c>
      <c r="O2" s="137" t="str">
        <f>secphone</f>
        <v>(530) 406-5329</v>
      </c>
      <c r="P2" s="137" t="str">
        <f>secemail</f>
        <v xml:space="preserve">AnnMarie.Boylan@YoloCounty.gov </v>
      </c>
      <c r="Q2" s="137" t="e">
        <f>t1yobgtot+t2yobgtot+t3yobgtot+t4yobgtot+t5yobgtot+t6yobgtot+t7yobgtot+t8yobgtot+t9yobgtot+t10yobgtot</f>
        <v>#REF!</v>
      </c>
      <c r="R2" s="137" t="e">
        <f>t1jjcpatot+t2jjcpatot+t3jjcpatot+t4jjcpatot+t5jjcpatot+t6jjcpatot+t7jjcpatot+t8jjcpatot+t9jjcpatot+t10jjcpatot</f>
        <v>#REF!</v>
      </c>
      <c r="S2" s="137" t="e">
        <f>t1othertot+t2othertot+t3othertot+t4othertot+t5othertot+t6othertot+t7othertot+t8othertot+t9othertot+t10othertot</f>
        <v>#REF!</v>
      </c>
      <c r="T2" s="137" t="e">
        <f>t1casecount+t2casecount+t3casecount+t4casecount+t5casecount+t6casecount+t7casecount+t8casecount+t9casecount+t10casecount</f>
        <v>#REF!</v>
      </c>
      <c r="U2" s="137" t="e">
        <f>Numecodet1</f>
        <v>#REF!</v>
      </c>
      <c r="V2" s="137" t="e">
        <f>Numealtt1</f>
        <v>#REF!</v>
      </c>
      <c r="W2" s="141" t="e">
        <f>t1yobgsal</f>
        <v>#REF!</v>
      </c>
      <c r="X2" s="141" t="e">
        <f>t1yobgserv</f>
        <v>#REF!</v>
      </c>
      <c r="Y2" s="141" t="e">
        <f>t1yobgprof</f>
        <v>#REF!</v>
      </c>
      <c r="Z2" s="141" t="e">
        <f>t1yobgcbo</f>
        <v>#REF!</v>
      </c>
      <c r="AA2" s="141" t="e">
        <f>t1yobgequip</f>
        <v>#REF!</v>
      </c>
      <c r="AB2" s="141" t="e">
        <f>t1yobgadmin</f>
        <v>#REF!</v>
      </c>
      <c r="AC2" s="141" t="e">
        <f>t1yobgothr1</f>
        <v>#REF!</v>
      </c>
      <c r="AD2" s="141" t="e">
        <f>t1yobgothr2</f>
        <v>#REF!</v>
      </c>
      <c r="AE2" s="141" t="e">
        <f>t1yobgothr3</f>
        <v>#REF!</v>
      </c>
      <c r="AF2" s="141" t="e">
        <f>t1yobgtot</f>
        <v>#REF!</v>
      </c>
      <c r="AG2" s="141" t="e">
        <f>t1jjcpasal</f>
        <v>#REF!</v>
      </c>
      <c r="AH2" s="141" t="e">
        <f>t1jjcpaserv</f>
        <v>#REF!</v>
      </c>
      <c r="AI2" s="141" t="e">
        <f>t1jjcpaprof</f>
        <v>#REF!</v>
      </c>
      <c r="AJ2" s="141" t="e">
        <f>t1jjcpacbo</f>
        <v>#REF!</v>
      </c>
      <c r="AK2" s="141" t="e">
        <f>t1jjcpaequip</f>
        <v>#REF!</v>
      </c>
      <c r="AL2" s="141" t="e">
        <f>t1jjcpaadmin</f>
        <v>#REF!</v>
      </c>
      <c r="AM2" s="141" t="e">
        <f>t1jjcpaothr1</f>
        <v>#REF!</v>
      </c>
      <c r="AN2" s="141" t="e">
        <f>t1jjcpaothr2</f>
        <v>#REF!</v>
      </c>
      <c r="AO2" s="141" t="e">
        <f>t1jjcpaothr3</f>
        <v>#REF!</v>
      </c>
      <c r="AP2" s="141" t="e">
        <f>t1jjcpatot</f>
        <v>#REF!</v>
      </c>
      <c r="AQ2" s="141" t="e">
        <f>t1othersal</f>
        <v>#REF!</v>
      </c>
      <c r="AR2" s="141" t="e">
        <f>t1otherserv</f>
        <v>#REF!</v>
      </c>
      <c r="AS2" s="141" t="e">
        <f>t1otherprof</f>
        <v>#REF!</v>
      </c>
      <c r="AT2" s="141" t="e">
        <f>t1othercbo</f>
        <v>#REF!</v>
      </c>
      <c r="AU2" s="141" t="e">
        <f>t1otherequip</f>
        <v>#REF!</v>
      </c>
      <c r="AV2" s="141" t="e">
        <f>t1otheradmin</f>
        <v>#REF!</v>
      </c>
      <c r="AW2" s="141" t="e">
        <f>t1otherothr1</f>
        <v>#REF!</v>
      </c>
      <c r="AX2" s="141" t="e">
        <f>t1otherothr2</f>
        <v>#REF!</v>
      </c>
      <c r="AY2" s="141" t="e">
        <f>t1otherothr3</f>
        <v>#REF!</v>
      </c>
      <c r="AZ2" s="141" t="e">
        <f>t1othertot</f>
        <v>#REF!</v>
      </c>
      <c r="BA2" s="139" t="e">
        <f>t1casecount</f>
        <v>#REF!</v>
      </c>
      <c r="BB2" s="142" t="e">
        <f>t1yobgpercap</f>
        <v>#REF!</v>
      </c>
      <c r="BC2" s="142" t="e">
        <f>t1totpercap</f>
        <v>#REF!</v>
      </c>
      <c r="BD2" s="139" t="e">
        <f>t1youth1</f>
        <v>#REF!</v>
      </c>
      <c r="BE2" s="139" t="e">
        <f>t1youth2</f>
        <v>#REF!</v>
      </c>
      <c r="BF2" s="139" t="e">
        <f>t1youth3</f>
        <v>#REF!</v>
      </c>
      <c r="BG2" s="139" t="e">
        <f>t1youth4</f>
        <v>#REF!</v>
      </c>
      <c r="BH2" s="139" t="e">
        <f>t1youth5</f>
        <v>#REF!</v>
      </c>
      <c r="BI2" s="139" t="e">
        <f>t1youth6</f>
        <v>#REF!</v>
      </c>
      <c r="BJ2" s="137" t="e">
        <f>Numecodet2</f>
        <v>#REF!</v>
      </c>
      <c r="BK2" s="137" t="e">
        <f>Numealtt2</f>
        <v>#REF!</v>
      </c>
      <c r="BL2" s="141" t="e">
        <f>t2yobgsal</f>
        <v>#REF!</v>
      </c>
      <c r="BM2" s="141" t="e">
        <f>t2yobgserv</f>
        <v>#REF!</v>
      </c>
      <c r="BN2" s="141" t="e">
        <f>t2yobgprof</f>
        <v>#REF!</v>
      </c>
      <c r="BO2" s="141" t="e">
        <f>t2yobgcbo</f>
        <v>#REF!</v>
      </c>
      <c r="BP2" s="141" t="e">
        <f>t2yobgequip</f>
        <v>#REF!</v>
      </c>
      <c r="BQ2" s="141" t="e">
        <f>t2yobgadmin</f>
        <v>#REF!</v>
      </c>
      <c r="BR2" s="141" t="e">
        <f>t2yobgothr1</f>
        <v>#REF!</v>
      </c>
      <c r="BS2" s="141" t="e">
        <f>t2yobgothr2</f>
        <v>#REF!</v>
      </c>
      <c r="BT2" s="141" t="e">
        <f>t2yobgothr3</f>
        <v>#REF!</v>
      </c>
      <c r="BU2" s="141" t="e">
        <f>t2yobgtot</f>
        <v>#REF!</v>
      </c>
      <c r="BV2" s="141" t="e">
        <f>t2jjcpasal</f>
        <v>#REF!</v>
      </c>
      <c r="BW2" s="141" t="e">
        <f>t2jjcpaserv</f>
        <v>#REF!</v>
      </c>
      <c r="BX2" s="141" t="e">
        <f>t2jjcpaprof</f>
        <v>#REF!</v>
      </c>
      <c r="BY2" s="141" t="e">
        <f>t2jjcpacbo</f>
        <v>#REF!</v>
      </c>
      <c r="BZ2" s="141" t="e">
        <f>t2jjcpaequip</f>
        <v>#REF!</v>
      </c>
      <c r="CA2" s="141" t="e">
        <f>t2jjcpaadmin</f>
        <v>#REF!</v>
      </c>
      <c r="CB2" s="141" t="e">
        <f>t2jjcpaothr1</f>
        <v>#REF!</v>
      </c>
      <c r="CC2" s="141" t="e">
        <f>t2jjcpaothr2</f>
        <v>#REF!</v>
      </c>
      <c r="CD2" s="141" t="e">
        <f>t2jjcpaothr3</f>
        <v>#REF!</v>
      </c>
      <c r="CE2" s="141" t="e">
        <f>t2jjcpatot</f>
        <v>#REF!</v>
      </c>
      <c r="CF2" s="141" t="e">
        <f>t2othersal</f>
        <v>#REF!</v>
      </c>
      <c r="CG2" s="141" t="e">
        <f>t2otherserv</f>
        <v>#REF!</v>
      </c>
      <c r="CH2" s="141" t="e">
        <f>t2otherprof</f>
        <v>#REF!</v>
      </c>
      <c r="CI2" s="141" t="e">
        <f>t2othercbo</f>
        <v>#REF!</v>
      </c>
      <c r="CJ2" s="141" t="e">
        <f>t2otherequip</f>
        <v>#REF!</v>
      </c>
      <c r="CK2" s="141" t="e">
        <f>t2otheradmin</f>
        <v>#REF!</v>
      </c>
      <c r="CL2" s="141" t="e">
        <f>t2otherothr1</f>
        <v>#REF!</v>
      </c>
      <c r="CM2" s="141" t="e">
        <f>t2otherothr2</f>
        <v>#REF!</v>
      </c>
      <c r="CN2" s="141" t="e">
        <f>t2otherothr3</f>
        <v>#REF!</v>
      </c>
      <c r="CO2" s="141" t="e">
        <f>t2othertot</f>
        <v>#REF!</v>
      </c>
      <c r="CP2" s="139" t="e">
        <f>t2casecount</f>
        <v>#REF!</v>
      </c>
      <c r="CQ2" s="142" t="e">
        <f>t2yobgpercap</f>
        <v>#REF!</v>
      </c>
      <c r="CR2" s="142" t="e">
        <f>t2totpercap</f>
        <v>#REF!</v>
      </c>
      <c r="CS2" s="139" t="e">
        <f>t2youth1</f>
        <v>#REF!</v>
      </c>
      <c r="CT2" s="139" t="e">
        <f>t2youth2</f>
        <v>#REF!</v>
      </c>
      <c r="CU2" s="139" t="e">
        <f>t2youth3</f>
        <v>#REF!</v>
      </c>
      <c r="CV2" s="139" t="e">
        <f>t2youth4</f>
        <v>#REF!</v>
      </c>
      <c r="CW2" s="139" t="e">
        <f>t2youth5</f>
        <v>#REF!</v>
      </c>
      <c r="CX2" s="139" t="e">
        <f>t2youth6</f>
        <v>#REF!</v>
      </c>
      <c r="CY2" s="137" t="e">
        <f>Numecodet3</f>
        <v>#REF!</v>
      </c>
      <c r="CZ2" s="137" t="e">
        <f>Numealtt3</f>
        <v>#REF!</v>
      </c>
      <c r="DA2" s="141" t="e">
        <f>t3yobgsal</f>
        <v>#REF!</v>
      </c>
      <c r="DB2" s="141" t="e">
        <f>t3yobgserv</f>
        <v>#REF!</v>
      </c>
      <c r="DC2" s="141" t="e">
        <f>t3yobgprof</f>
        <v>#REF!</v>
      </c>
      <c r="DD2" s="141" t="e">
        <f>t3yobgcbo</f>
        <v>#REF!</v>
      </c>
      <c r="DE2" s="141" t="e">
        <f>t3yobgequip</f>
        <v>#REF!</v>
      </c>
      <c r="DF2" s="141" t="e">
        <f>t3yobgadmin</f>
        <v>#REF!</v>
      </c>
      <c r="DG2" s="141" t="e">
        <f>t3yobgothr1</f>
        <v>#REF!</v>
      </c>
      <c r="DH2" s="141" t="e">
        <f>t3yobgothr2</f>
        <v>#REF!</v>
      </c>
      <c r="DI2" s="141" t="e">
        <f>t3yobgothr3</f>
        <v>#REF!</v>
      </c>
      <c r="DJ2" s="141" t="e">
        <f>t3yobgtot</f>
        <v>#REF!</v>
      </c>
      <c r="DK2" s="141" t="e">
        <f>t3jjcpasal</f>
        <v>#REF!</v>
      </c>
      <c r="DL2" s="141" t="e">
        <f>t3jjcpaserv</f>
        <v>#REF!</v>
      </c>
      <c r="DM2" s="141" t="e">
        <f>t3jjcpaprof</f>
        <v>#REF!</v>
      </c>
      <c r="DN2" s="141" t="e">
        <f>t3jjcpacbo</f>
        <v>#REF!</v>
      </c>
      <c r="DO2" s="141" t="e">
        <f>t3jjcpaequip</f>
        <v>#REF!</v>
      </c>
      <c r="DP2" s="141" t="e">
        <f>t3jjcpaadmin</f>
        <v>#REF!</v>
      </c>
      <c r="DQ2" s="141" t="e">
        <f>t3jjcpaothr1</f>
        <v>#REF!</v>
      </c>
      <c r="DR2" s="141" t="e">
        <f>t3jjcpaothr2</f>
        <v>#REF!</v>
      </c>
      <c r="DS2" s="141" t="e">
        <f>t3jjcpaothr3</f>
        <v>#REF!</v>
      </c>
      <c r="DT2" s="141" t="e">
        <f>t3jjcpatot</f>
        <v>#REF!</v>
      </c>
      <c r="DU2" s="141" t="e">
        <f>t3othersal</f>
        <v>#REF!</v>
      </c>
      <c r="DV2" s="141" t="e">
        <f>t3otherserv</f>
        <v>#REF!</v>
      </c>
      <c r="DW2" s="141" t="e">
        <f>t3otherprof</f>
        <v>#REF!</v>
      </c>
      <c r="DX2" s="141" t="e">
        <f>t3othercbo</f>
        <v>#REF!</v>
      </c>
      <c r="DY2" s="141" t="e">
        <f>t3otherequip</f>
        <v>#REF!</v>
      </c>
      <c r="DZ2" s="141" t="e">
        <f>t3otheradmin</f>
        <v>#REF!</v>
      </c>
      <c r="EA2" s="141" t="e">
        <f>t3otherothr1</f>
        <v>#REF!</v>
      </c>
      <c r="EB2" s="141" t="e">
        <f>t3otherothr2</f>
        <v>#REF!</v>
      </c>
      <c r="EC2" s="141" t="e">
        <f>t3otherothr3</f>
        <v>#REF!</v>
      </c>
      <c r="ED2" s="141" t="e">
        <f>t3othertot</f>
        <v>#REF!</v>
      </c>
      <c r="EE2" s="139" t="e">
        <f>t3casecount</f>
        <v>#REF!</v>
      </c>
      <c r="EF2" s="142" t="e">
        <f>t3yobgpercap</f>
        <v>#REF!</v>
      </c>
      <c r="EG2" s="142" t="e">
        <f>t3totpercap</f>
        <v>#REF!</v>
      </c>
      <c r="EH2" s="139" t="e">
        <f>t3youth1</f>
        <v>#REF!</v>
      </c>
      <c r="EI2" s="139" t="e">
        <f>t3youth2</f>
        <v>#REF!</v>
      </c>
      <c r="EJ2" s="139" t="e">
        <f>t3youth3</f>
        <v>#REF!</v>
      </c>
      <c r="EK2" s="139" t="e">
        <f>t3youth4</f>
        <v>#REF!</v>
      </c>
      <c r="EL2" s="139" t="e">
        <f>t3youth5</f>
        <v>#REF!</v>
      </c>
      <c r="EM2" s="139" t="e">
        <f>t3youth6</f>
        <v>#REF!</v>
      </c>
      <c r="EN2" s="137" t="e">
        <f>Numecodet4</f>
        <v>#REF!</v>
      </c>
      <c r="EO2" s="137" t="e">
        <f>Numealtt4</f>
        <v>#REF!</v>
      </c>
      <c r="EP2" s="141" t="e">
        <f>t4yobgsal</f>
        <v>#REF!</v>
      </c>
      <c r="EQ2" s="141" t="e">
        <f>t4yobgserv</f>
        <v>#REF!</v>
      </c>
      <c r="ER2" s="141" t="e">
        <f>t4yobgprof</f>
        <v>#REF!</v>
      </c>
      <c r="ES2" s="141" t="e">
        <f>t4yobgcbo</f>
        <v>#REF!</v>
      </c>
      <c r="ET2" s="141" t="e">
        <f>t4yobgequip</f>
        <v>#REF!</v>
      </c>
      <c r="EU2" s="141" t="e">
        <f>t4yobgadmin</f>
        <v>#REF!</v>
      </c>
      <c r="EV2" s="141" t="e">
        <f>t4yobgothr1</f>
        <v>#REF!</v>
      </c>
      <c r="EW2" s="141" t="e">
        <f>t4yobgothr2</f>
        <v>#REF!</v>
      </c>
      <c r="EX2" s="141" t="e">
        <f>t4yobgothr3</f>
        <v>#REF!</v>
      </c>
      <c r="EY2" s="141" t="e">
        <f>t4yobgtot</f>
        <v>#REF!</v>
      </c>
      <c r="EZ2" s="141" t="e">
        <f>t4jjcpasal</f>
        <v>#REF!</v>
      </c>
      <c r="FA2" s="141" t="e">
        <f>t4jjcpaserv</f>
        <v>#REF!</v>
      </c>
      <c r="FB2" s="141" t="e">
        <f>t4jjcpaprof</f>
        <v>#REF!</v>
      </c>
      <c r="FC2" s="141" t="e">
        <f>t4jjcpacbo</f>
        <v>#REF!</v>
      </c>
      <c r="FD2" s="141" t="e">
        <f>t4jjcpaequip</f>
        <v>#REF!</v>
      </c>
      <c r="FE2" s="141" t="e">
        <f>t4jjcpaadmin</f>
        <v>#REF!</v>
      </c>
      <c r="FF2" s="141" t="e">
        <f>t4jjcpaothr1</f>
        <v>#REF!</v>
      </c>
      <c r="FG2" s="141" t="e">
        <f>t4jjcpaothr2</f>
        <v>#REF!</v>
      </c>
      <c r="FH2" s="141" t="e">
        <f>t4jjcpaothr3</f>
        <v>#REF!</v>
      </c>
      <c r="FI2" s="141" t="e">
        <f>t4jjcpatot</f>
        <v>#REF!</v>
      </c>
      <c r="FJ2" s="141" t="e">
        <f>t4othersal</f>
        <v>#REF!</v>
      </c>
      <c r="FK2" s="141" t="e">
        <f>t4otherserv</f>
        <v>#REF!</v>
      </c>
      <c r="FL2" s="141" t="e">
        <f>t4otherprof</f>
        <v>#REF!</v>
      </c>
      <c r="FM2" s="141" t="e">
        <f>t4othercbo</f>
        <v>#REF!</v>
      </c>
      <c r="FN2" s="141" t="e">
        <f>t4otherequip</f>
        <v>#REF!</v>
      </c>
      <c r="FO2" s="141" t="e">
        <f>t4otheradmin</f>
        <v>#REF!</v>
      </c>
      <c r="FP2" s="141" t="e">
        <f>t4otherothr1</f>
        <v>#REF!</v>
      </c>
      <c r="FQ2" s="141" t="e">
        <f>t4otherothr2</f>
        <v>#REF!</v>
      </c>
      <c r="FR2" s="141" t="e">
        <f>t4otherothr3</f>
        <v>#REF!</v>
      </c>
      <c r="FS2" s="141" t="e">
        <f>t4othertot</f>
        <v>#REF!</v>
      </c>
      <c r="FT2" s="139" t="e">
        <f>t4casecount</f>
        <v>#REF!</v>
      </c>
      <c r="FU2" s="142" t="e">
        <f>t4yobgpercap</f>
        <v>#REF!</v>
      </c>
      <c r="FV2" s="142" t="e">
        <f>t4totpercap</f>
        <v>#REF!</v>
      </c>
      <c r="FW2" s="139" t="e">
        <f>t4youth1</f>
        <v>#REF!</v>
      </c>
      <c r="FX2" s="139" t="e">
        <f>t4youth2</f>
        <v>#REF!</v>
      </c>
      <c r="FY2" s="139" t="e">
        <f>t4youth3</f>
        <v>#REF!</v>
      </c>
      <c r="FZ2" s="139" t="e">
        <f>t4youth4</f>
        <v>#REF!</v>
      </c>
      <c r="GA2" s="139" t="e">
        <f>t4youth5</f>
        <v>#REF!</v>
      </c>
      <c r="GB2" s="139" t="e">
        <f>t4youth6</f>
        <v>#REF!</v>
      </c>
      <c r="GC2" s="137" t="e">
        <f>Numecodet5</f>
        <v>#REF!</v>
      </c>
      <c r="GD2" s="137" t="e">
        <f>Numealtt5</f>
        <v>#REF!</v>
      </c>
      <c r="GE2" s="141" t="e">
        <f>t5yobgsal</f>
        <v>#REF!</v>
      </c>
      <c r="GF2" s="141" t="e">
        <f>t5yobgserv</f>
        <v>#REF!</v>
      </c>
      <c r="GG2" s="141" t="e">
        <f>t5yobgprof</f>
        <v>#REF!</v>
      </c>
      <c r="GH2" s="141" t="e">
        <f>t5yobgcbo</f>
        <v>#REF!</v>
      </c>
      <c r="GI2" s="141" t="e">
        <f>t5yobgequip</f>
        <v>#REF!</v>
      </c>
      <c r="GJ2" s="141" t="e">
        <f>t5yobgadmin</f>
        <v>#REF!</v>
      </c>
      <c r="GK2" s="141" t="e">
        <f>t5yobgothr1</f>
        <v>#REF!</v>
      </c>
      <c r="GL2" s="141" t="e">
        <f>t5yobgothr2</f>
        <v>#REF!</v>
      </c>
      <c r="GM2" s="141" t="e">
        <f>t5yobgothr3</f>
        <v>#REF!</v>
      </c>
      <c r="GN2" s="141" t="e">
        <f>t5yobgtot</f>
        <v>#REF!</v>
      </c>
      <c r="GO2" s="141" t="e">
        <f>t5jjcpasal</f>
        <v>#REF!</v>
      </c>
      <c r="GP2" s="141" t="e">
        <f>t5jjcpaserv</f>
        <v>#REF!</v>
      </c>
      <c r="GQ2" s="141" t="e">
        <f>t5jjcpaprof</f>
        <v>#REF!</v>
      </c>
      <c r="GR2" s="141" t="e">
        <f>t5jjcpacbo</f>
        <v>#REF!</v>
      </c>
      <c r="GS2" s="141" t="e">
        <f>t5jjcpaequip</f>
        <v>#REF!</v>
      </c>
      <c r="GT2" s="141" t="e">
        <f>t5jjcpaadmin</f>
        <v>#REF!</v>
      </c>
      <c r="GU2" s="141" t="e">
        <f>t5jjcpaothr1</f>
        <v>#REF!</v>
      </c>
      <c r="GV2" s="141" t="e">
        <f>t5jjcpaothr2</f>
        <v>#REF!</v>
      </c>
      <c r="GW2" s="141" t="e">
        <f>t5jjcpaothr3</f>
        <v>#REF!</v>
      </c>
      <c r="GX2" s="141" t="e">
        <f>t5jjcpatot</f>
        <v>#REF!</v>
      </c>
      <c r="GY2" s="141" t="e">
        <f>t5othersal</f>
        <v>#REF!</v>
      </c>
      <c r="GZ2" s="141" t="e">
        <f>t5otherserv</f>
        <v>#REF!</v>
      </c>
      <c r="HA2" s="141" t="e">
        <f>t5otherprof</f>
        <v>#REF!</v>
      </c>
      <c r="HB2" s="141" t="e">
        <f>t5othercbo</f>
        <v>#REF!</v>
      </c>
      <c r="HC2" s="141" t="e">
        <f>t5otherequip</f>
        <v>#REF!</v>
      </c>
      <c r="HD2" s="141" t="e">
        <f>t5otheradmin</f>
        <v>#REF!</v>
      </c>
      <c r="HE2" s="141" t="e">
        <f>t5otherothr1</f>
        <v>#REF!</v>
      </c>
      <c r="HF2" s="141" t="e">
        <f>t5otherothr2</f>
        <v>#REF!</v>
      </c>
      <c r="HG2" s="141" t="e">
        <f>t5otherothr3</f>
        <v>#REF!</v>
      </c>
      <c r="HH2" s="141" t="e">
        <f>t5othertot</f>
        <v>#REF!</v>
      </c>
      <c r="HI2" s="139" t="e">
        <f>t5casecount</f>
        <v>#REF!</v>
      </c>
      <c r="HJ2" s="142" t="e">
        <f>t5yobgpercap</f>
        <v>#REF!</v>
      </c>
      <c r="HK2" s="142" t="e">
        <f>t5totpercap</f>
        <v>#REF!</v>
      </c>
      <c r="HL2" s="139" t="e">
        <f>t5youth1</f>
        <v>#REF!</v>
      </c>
      <c r="HM2" s="139" t="e">
        <f>t5youth2</f>
        <v>#REF!</v>
      </c>
      <c r="HN2" s="139" t="e">
        <f>t5youth3</f>
        <v>#REF!</v>
      </c>
      <c r="HO2" s="139" t="e">
        <f>t5youth4</f>
        <v>#REF!</v>
      </c>
      <c r="HP2" s="139" t="e">
        <f>t5youth5</f>
        <v>#REF!</v>
      </c>
      <c r="HQ2" s="139"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37" t="s">
        <v>215</v>
      </c>
      <c r="B1" s="137" t="s">
        <v>440</v>
      </c>
      <c r="C1" s="137" t="s">
        <v>441</v>
      </c>
      <c r="D1" s="137" t="s">
        <v>442</v>
      </c>
      <c r="E1" s="137" t="s">
        <v>443</v>
      </c>
      <c r="F1" s="137" t="s">
        <v>444</v>
      </c>
      <c r="G1" s="137" t="s">
        <v>445</v>
      </c>
      <c r="H1" s="137" t="s">
        <v>446</v>
      </c>
      <c r="I1" s="137" t="s">
        <v>447</v>
      </c>
      <c r="J1" s="137" t="s">
        <v>448</v>
      </c>
      <c r="K1" s="137" t="s">
        <v>449</v>
      </c>
      <c r="L1" s="137" t="s">
        <v>450</v>
      </c>
      <c r="M1" s="137" t="s">
        <v>451</v>
      </c>
      <c r="N1" s="137" t="s">
        <v>452</v>
      </c>
      <c r="O1" s="137" t="s">
        <v>453</v>
      </c>
      <c r="P1" s="137" t="s">
        <v>454</v>
      </c>
      <c r="Q1" s="137" t="s">
        <v>455</v>
      </c>
      <c r="R1" s="137" t="s">
        <v>456</v>
      </c>
      <c r="S1" s="137" t="s">
        <v>457</v>
      </c>
      <c r="T1" s="137" t="s">
        <v>458</v>
      </c>
      <c r="U1" s="137" t="s">
        <v>459</v>
      </c>
      <c r="V1" s="137" t="s">
        <v>460</v>
      </c>
      <c r="W1" s="137" t="s">
        <v>461</v>
      </c>
      <c r="X1" s="137" t="s">
        <v>462</v>
      </c>
      <c r="Y1" s="137" t="s">
        <v>463</v>
      </c>
      <c r="Z1" s="137" t="s">
        <v>464</v>
      </c>
      <c r="AA1" s="137" t="s">
        <v>465</v>
      </c>
      <c r="AB1" s="137" t="s">
        <v>466</v>
      </c>
      <c r="AC1" s="137" t="s">
        <v>467</v>
      </c>
      <c r="AD1" s="137" t="s">
        <v>468</v>
      </c>
      <c r="AE1" s="137" t="s">
        <v>469</v>
      </c>
      <c r="AF1" s="137" t="s">
        <v>470</v>
      </c>
      <c r="AG1" s="137" t="s">
        <v>471</v>
      </c>
      <c r="AH1" s="137" t="s">
        <v>472</v>
      </c>
      <c r="AI1" s="137" t="s">
        <v>473</v>
      </c>
      <c r="AJ1" s="137" t="s">
        <v>474</v>
      </c>
      <c r="AK1" s="137" t="s">
        <v>475</v>
      </c>
      <c r="AL1" s="137" t="s">
        <v>476</v>
      </c>
      <c r="AM1" s="137" t="s">
        <v>477</v>
      </c>
      <c r="AN1" s="137" t="s">
        <v>478</v>
      </c>
      <c r="AO1" s="137" t="s">
        <v>479</v>
      </c>
      <c r="AP1" s="137" t="s">
        <v>480</v>
      </c>
      <c r="AQ1" s="137" t="s">
        <v>481</v>
      </c>
      <c r="AR1" s="137" t="s">
        <v>482</v>
      </c>
      <c r="AS1" s="137" t="s">
        <v>483</v>
      </c>
      <c r="AT1" s="137" t="s">
        <v>484</v>
      </c>
      <c r="AU1" s="137" t="s">
        <v>485</v>
      </c>
      <c r="AV1" s="137" t="s">
        <v>486</v>
      </c>
      <c r="AW1" s="137" t="s">
        <v>487</v>
      </c>
      <c r="AX1" s="137" t="s">
        <v>488</v>
      </c>
      <c r="AY1" s="137" t="s">
        <v>489</v>
      </c>
      <c r="AZ1" s="137" t="s">
        <v>490</v>
      </c>
      <c r="BA1" s="137" t="s">
        <v>491</v>
      </c>
      <c r="BB1" s="137" t="s">
        <v>492</v>
      </c>
      <c r="BC1" s="137" t="s">
        <v>493</v>
      </c>
      <c r="BD1" s="137" t="s">
        <v>494</v>
      </c>
      <c r="BE1" s="137" t="s">
        <v>495</v>
      </c>
      <c r="BF1" s="137" t="s">
        <v>496</v>
      </c>
      <c r="BG1" s="137" t="s">
        <v>497</v>
      </c>
      <c r="BH1" s="137" t="s">
        <v>498</v>
      </c>
      <c r="BI1" s="137" t="s">
        <v>499</v>
      </c>
      <c r="BJ1" s="137" t="s">
        <v>500</v>
      </c>
      <c r="BK1" s="137" t="s">
        <v>501</v>
      </c>
      <c r="BL1" s="137" t="s">
        <v>502</v>
      </c>
      <c r="BM1" s="137" t="s">
        <v>503</v>
      </c>
      <c r="BN1" s="137" t="s">
        <v>504</v>
      </c>
      <c r="BO1" s="137" t="s">
        <v>505</v>
      </c>
      <c r="BP1" s="137" t="s">
        <v>506</v>
      </c>
      <c r="BQ1" s="137" t="s">
        <v>507</v>
      </c>
      <c r="BR1" s="137" t="s">
        <v>508</v>
      </c>
      <c r="BS1" s="137" t="s">
        <v>509</v>
      </c>
      <c r="BT1" s="137" t="s">
        <v>510</v>
      </c>
      <c r="BU1" s="137" t="s">
        <v>511</v>
      </c>
      <c r="BV1" s="137" t="s">
        <v>512</v>
      </c>
      <c r="BW1" s="137" t="s">
        <v>513</v>
      </c>
      <c r="BX1" s="137" t="s">
        <v>514</v>
      </c>
      <c r="BY1" s="137" t="s">
        <v>515</v>
      </c>
      <c r="BZ1" s="137" t="s">
        <v>516</v>
      </c>
      <c r="CA1" s="137" t="s">
        <v>517</v>
      </c>
      <c r="CB1" s="137" t="s">
        <v>518</v>
      </c>
      <c r="CC1" s="137" t="s">
        <v>519</v>
      </c>
      <c r="CD1" s="137" t="s">
        <v>520</v>
      </c>
      <c r="CE1" s="137" t="s">
        <v>521</v>
      </c>
      <c r="CF1" s="137" t="s">
        <v>522</v>
      </c>
      <c r="CG1" s="137" t="s">
        <v>523</v>
      </c>
      <c r="CH1" s="137" t="s">
        <v>524</v>
      </c>
      <c r="CI1" s="137" t="s">
        <v>525</v>
      </c>
      <c r="CJ1" s="137" t="s">
        <v>526</v>
      </c>
      <c r="CK1" s="137" t="s">
        <v>527</v>
      </c>
      <c r="CL1" s="137" t="s">
        <v>528</v>
      </c>
      <c r="CM1" s="137" t="s">
        <v>529</v>
      </c>
      <c r="CN1" s="137" t="s">
        <v>530</v>
      </c>
      <c r="CO1" s="137" t="s">
        <v>531</v>
      </c>
      <c r="CP1" s="137" t="s">
        <v>532</v>
      </c>
      <c r="CQ1" s="137" t="s">
        <v>533</v>
      </c>
      <c r="CR1" s="137" t="s">
        <v>534</v>
      </c>
      <c r="CS1" s="137" t="s">
        <v>535</v>
      </c>
      <c r="CT1" s="137" t="s">
        <v>536</v>
      </c>
      <c r="CU1" s="137" t="s">
        <v>537</v>
      </c>
      <c r="CV1" s="137" t="s">
        <v>538</v>
      </c>
      <c r="CW1" s="137" t="s">
        <v>539</v>
      </c>
      <c r="CX1" s="137" t="s">
        <v>540</v>
      </c>
      <c r="CY1" s="137" t="s">
        <v>541</v>
      </c>
      <c r="CZ1" s="137" t="s">
        <v>542</v>
      </c>
      <c r="DA1" s="137" t="s">
        <v>543</v>
      </c>
      <c r="DB1" s="137" t="s">
        <v>544</v>
      </c>
      <c r="DC1" s="137" t="s">
        <v>545</v>
      </c>
      <c r="DD1" s="137" t="s">
        <v>546</v>
      </c>
      <c r="DE1" s="137" t="s">
        <v>547</v>
      </c>
      <c r="DF1" s="137" t="s">
        <v>548</v>
      </c>
      <c r="DG1" s="137" t="s">
        <v>549</v>
      </c>
      <c r="DH1" s="137" t="s">
        <v>550</v>
      </c>
      <c r="DI1" s="137" t="s">
        <v>551</v>
      </c>
      <c r="DJ1" s="137" t="s">
        <v>552</v>
      </c>
      <c r="DK1" s="137" t="s">
        <v>553</v>
      </c>
      <c r="DL1" s="137" t="s">
        <v>554</v>
      </c>
      <c r="DM1" s="137" t="s">
        <v>555</v>
      </c>
      <c r="DN1" s="137" t="s">
        <v>556</v>
      </c>
      <c r="DO1" s="137" t="s">
        <v>557</v>
      </c>
      <c r="DP1" s="137" t="s">
        <v>558</v>
      </c>
      <c r="DQ1" s="137" t="s">
        <v>559</v>
      </c>
      <c r="DR1" s="137" t="s">
        <v>560</v>
      </c>
      <c r="DS1" s="137" t="s">
        <v>561</v>
      </c>
      <c r="DT1" s="137" t="s">
        <v>562</v>
      </c>
      <c r="DU1" s="137" t="s">
        <v>563</v>
      </c>
      <c r="DV1" s="137" t="s">
        <v>564</v>
      </c>
      <c r="DW1" s="137" t="s">
        <v>565</v>
      </c>
      <c r="DX1" s="137" t="s">
        <v>566</v>
      </c>
      <c r="DY1" s="137" t="s">
        <v>567</v>
      </c>
      <c r="DZ1" s="137" t="s">
        <v>568</v>
      </c>
      <c r="EA1" s="137" t="s">
        <v>569</v>
      </c>
      <c r="EB1" s="137" t="s">
        <v>570</v>
      </c>
      <c r="EC1" s="137" t="s">
        <v>571</v>
      </c>
      <c r="ED1" s="137" t="s">
        <v>572</v>
      </c>
      <c r="EE1" s="137" t="s">
        <v>573</v>
      </c>
      <c r="EF1" s="137" t="s">
        <v>574</v>
      </c>
      <c r="EG1" s="137" t="s">
        <v>575</v>
      </c>
      <c r="EH1" s="137" t="s">
        <v>576</v>
      </c>
      <c r="EI1" s="137" t="s">
        <v>577</v>
      </c>
      <c r="EJ1" s="137" t="s">
        <v>578</v>
      </c>
      <c r="EK1" s="137" t="s">
        <v>579</v>
      </c>
      <c r="EL1" s="137" t="s">
        <v>580</v>
      </c>
      <c r="EM1" s="137" t="s">
        <v>581</v>
      </c>
      <c r="EN1" s="137" t="s">
        <v>582</v>
      </c>
      <c r="EO1" s="137" t="s">
        <v>583</v>
      </c>
      <c r="EP1" s="137" t="s">
        <v>584</v>
      </c>
      <c r="EQ1" s="137" t="s">
        <v>585</v>
      </c>
      <c r="ER1" s="137" t="s">
        <v>586</v>
      </c>
      <c r="ES1" s="137" t="s">
        <v>587</v>
      </c>
      <c r="ET1" s="137" t="s">
        <v>588</v>
      </c>
      <c r="EU1" s="137" t="s">
        <v>589</v>
      </c>
      <c r="EV1" s="137" t="s">
        <v>590</v>
      </c>
      <c r="EW1" s="137" t="s">
        <v>591</v>
      </c>
      <c r="EX1" s="137" t="s">
        <v>592</v>
      </c>
      <c r="EY1" s="137" t="s">
        <v>593</v>
      </c>
      <c r="EZ1" s="137" t="s">
        <v>594</v>
      </c>
      <c r="FA1" s="137" t="s">
        <v>595</v>
      </c>
      <c r="FB1" s="137" t="s">
        <v>596</v>
      </c>
      <c r="FC1" s="137" t="s">
        <v>597</v>
      </c>
      <c r="FD1" s="137" t="s">
        <v>598</v>
      </c>
      <c r="FE1" s="137" t="s">
        <v>599</v>
      </c>
      <c r="FF1" s="137" t="s">
        <v>600</v>
      </c>
      <c r="FG1" s="137" t="s">
        <v>601</v>
      </c>
      <c r="FH1" s="137" t="s">
        <v>602</v>
      </c>
      <c r="FI1" s="137" t="s">
        <v>603</v>
      </c>
      <c r="FJ1" s="137" t="s">
        <v>604</v>
      </c>
      <c r="FK1" s="137" t="s">
        <v>605</v>
      </c>
      <c r="FL1" s="137" t="s">
        <v>606</v>
      </c>
      <c r="FM1" s="137" t="s">
        <v>607</v>
      </c>
      <c r="FN1" s="137" t="s">
        <v>608</v>
      </c>
      <c r="FO1" s="137" t="s">
        <v>609</v>
      </c>
      <c r="FP1" s="137" t="s">
        <v>610</v>
      </c>
      <c r="FQ1" s="137" t="s">
        <v>611</v>
      </c>
      <c r="FR1" s="137" t="s">
        <v>612</v>
      </c>
      <c r="FS1" s="137" t="s">
        <v>613</v>
      </c>
      <c r="FT1" s="137" t="s">
        <v>614</v>
      </c>
      <c r="FU1" s="137" t="s">
        <v>615</v>
      </c>
      <c r="FV1" s="137" t="s">
        <v>616</v>
      </c>
      <c r="FW1" s="137" t="s">
        <v>617</v>
      </c>
      <c r="FX1" s="137" t="s">
        <v>618</v>
      </c>
      <c r="FY1" s="137" t="s">
        <v>619</v>
      </c>
      <c r="FZ1" s="137" t="s">
        <v>620</v>
      </c>
      <c r="GA1" s="137" t="s">
        <v>621</v>
      </c>
      <c r="GB1" s="137" t="s">
        <v>622</v>
      </c>
      <c r="GC1" s="137" t="s">
        <v>623</v>
      </c>
      <c r="GD1" s="137" t="s">
        <v>624</v>
      </c>
      <c r="GE1" s="137" t="s">
        <v>625</v>
      </c>
      <c r="GF1" s="137" t="s">
        <v>626</v>
      </c>
      <c r="GG1" s="137" t="s">
        <v>627</v>
      </c>
      <c r="GH1" s="137" t="s">
        <v>628</v>
      </c>
      <c r="GI1" s="137" t="s">
        <v>629</v>
      </c>
      <c r="GJ1" s="137" t="s">
        <v>630</v>
      </c>
      <c r="GK1" s="137" t="s">
        <v>631</v>
      </c>
      <c r="GL1" s="137" t="s">
        <v>632</v>
      </c>
      <c r="GM1" s="137" t="s">
        <v>633</v>
      </c>
      <c r="GN1" s="137" t="s">
        <v>634</v>
      </c>
      <c r="GO1" s="137" t="s">
        <v>635</v>
      </c>
      <c r="GP1" s="137" t="s">
        <v>636</v>
      </c>
      <c r="GQ1" s="137" t="s">
        <v>637</v>
      </c>
      <c r="GR1" s="137" t="s">
        <v>638</v>
      </c>
      <c r="GS1" s="137" t="s">
        <v>639</v>
      </c>
      <c r="GT1" s="137" t="s">
        <v>640</v>
      </c>
      <c r="GU1" s="137" t="s">
        <v>641</v>
      </c>
      <c r="GV1" s="137" t="s">
        <v>642</v>
      </c>
      <c r="GW1" s="137" t="s">
        <v>643</v>
      </c>
      <c r="GX1" s="137" t="s">
        <v>644</v>
      </c>
      <c r="GY1" s="137" t="s">
        <v>645</v>
      </c>
      <c r="GZ1" s="137" t="s">
        <v>179</v>
      </c>
      <c r="HA1" s="137" t="s">
        <v>646</v>
      </c>
      <c r="HB1" s="137" t="s">
        <v>647</v>
      </c>
      <c r="HC1" s="137" t="s">
        <v>648</v>
      </c>
      <c r="HD1" s="137" t="s">
        <v>649</v>
      </c>
      <c r="HE1" s="137" t="s">
        <v>650</v>
      </c>
      <c r="HF1" s="137" t="s">
        <v>651</v>
      </c>
      <c r="HG1" s="137" t="s">
        <v>652</v>
      </c>
      <c r="HH1" s="137" t="s">
        <v>653</v>
      </c>
      <c r="HI1" s="137" t="s">
        <v>654</v>
      </c>
      <c r="HJ1" s="137" t="s">
        <v>655</v>
      </c>
      <c r="HK1" s="137" t="s">
        <v>656</v>
      </c>
      <c r="HL1" s="137" t="s">
        <v>657</v>
      </c>
      <c r="HM1" s="137" t="s">
        <v>658</v>
      </c>
      <c r="HN1" s="137" t="s">
        <v>659</v>
      </c>
      <c r="HO1" s="137" t="s">
        <v>660</v>
      </c>
      <c r="HP1" s="137" t="s">
        <v>661</v>
      </c>
      <c r="HQ1" s="137" t="s">
        <v>662</v>
      </c>
    </row>
    <row r="2" spans="1:225" ht="12.75" customHeight="1">
      <c r="A2" s="16" t="str">
        <f>County</f>
        <v>Yolo</v>
      </c>
      <c r="B2" s="137" t="e">
        <f>Numecodet6</f>
        <v>#REF!</v>
      </c>
      <c r="C2" s="137" t="e">
        <f>Numealtt6</f>
        <v>#REF!</v>
      </c>
      <c r="D2" s="141" t="e">
        <f>t6yobgsal</f>
        <v>#REF!</v>
      </c>
      <c r="E2" s="141" t="e">
        <f>t6yobgserv</f>
        <v>#REF!</v>
      </c>
      <c r="F2" s="141" t="e">
        <f>t6yobgprof</f>
        <v>#REF!</v>
      </c>
      <c r="G2" s="141" t="e">
        <f>t6yobgcbo</f>
        <v>#REF!</v>
      </c>
      <c r="H2" s="141" t="e">
        <f>t6yobgequip</f>
        <v>#REF!</v>
      </c>
      <c r="I2" s="141" t="e">
        <f>t6yobgadmin</f>
        <v>#REF!</v>
      </c>
      <c r="J2" s="141" t="e">
        <f>t6yobgothr1</f>
        <v>#REF!</v>
      </c>
      <c r="K2" s="141" t="e">
        <f>t6yobgothr2</f>
        <v>#REF!</v>
      </c>
      <c r="L2" s="141" t="e">
        <f>t6yobgothr3</f>
        <v>#REF!</v>
      </c>
      <c r="M2" s="141" t="e">
        <f>t6yobgtot</f>
        <v>#REF!</v>
      </c>
      <c r="N2" s="141" t="e">
        <f>t6jjcpasal</f>
        <v>#REF!</v>
      </c>
      <c r="O2" s="141" t="e">
        <f>t6jjcpaserv</f>
        <v>#REF!</v>
      </c>
      <c r="P2" s="141" t="e">
        <f>t6jjcpaprof</f>
        <v>#REF!</v>
      </c>
      <c r="Q2" s="141" t="e">
        <f>t6jjcpacbo</f>
        <v>#REF!</v>
      </c>
      <c r="R2" s="141" t="e">
        <f>t6jjcpaequip</f>
        <v>#REF!</v>
      </c>
      <c r="S2" s="141" t="e">
        <f>t6jjcpaadmin</f>
        <v>#REF!</v>
      </c>
      <c r="T2" s="141" t="e">
        <f>t6jjcpaothr1</f>
        <v>#REF!</v>
      </c>
      <c r="U2" s="141" t="e">
        <f>t6jjcpaothr2</f>
        <v>#REF!</v>
      </c>
      <c r="V2" s="141" t="e">
        <f>t6jjcpaothr3</f>
        <v>#REF!</v>
      </c>
      <c r="W2" s="141" t="e">
        <f>t6jjcpatot</f>
        <v>#REF!</v>
      </c>
      <c r="X2" s="141" t="e">
        <f>t6othersal</f>
        <v>#REF!</v>
      </c>
      <c r="Y2" s="141" t="e">
        <f>t6otherserv</f>
        <v>#REF!</v>
      </c>
      <c r="Z2" s="141" t="e">
        <f>t6otherprof</f>
        <v>#REF!</v>
      </c>
      <c r="AA2" s="141" t="e">
        <f>t6othercbo</f>
        <v>#REF!</v>
      </c>
      <c r="AB2" s="141" t="e">
        <f>t6otherequip</f>
        <v>#REF!</v>
      </c>
      <c r="AC2" s="141" t="e">
        <f>t6otheradmin</f>
        <v>#REF!</v>
      </c>
      <c r="AD2" s="141" t="e">
        <f>t6otherothr1</f>
        <v>#REF!</v>
      </c>
      <c r="AE2" s="141" t="e">
        <f>t6otherothr2</f>
        <v>#REF!</v>
      </c>
      <c r="AF2" s="141" t="e">
        <f>t6otherothr3</f>
        <v>#REF!</v>
      </c>
      <c r="AG2" s="141" t="e">
        <f>t6othertot</f>
        <v>#REF!</v>
      </c>
      <c r="AH2" s="139" t="e">
        <f>t6casecount</f>
        <v>#REF!</v>
      </c>
      <c r="AI2" s="142" t="e">
        <f>t6yobgpercap</f>
        <v>#REF!</v>
      </c>
      <c r="AJ2" s="142" t="e">
        <f>t6totpercap</f>
        <v>#REF!</v>
      </c>
      <c r="AK2" s="139" t="e">
        <f>t6youth1</f>
        <v>#REF!</v>
      </c>
      <c r="AL2" s="139" t="e">
        <f>t6youth2</f>
        <v>#REF!</v>
      </c>
      <c r="AM2" s="139" t="e">
        <f>t6youth3</f>
        <v>#REF!</v>
      </c>
      <c r="AN2" s="139" t="e">
        <f>t6youth4</f>
        <v>#REF!</v>
      </c>
      <c r="AO2" s="139" t="e">
        <f>t6youth5</f>
        <v>#REF!</v>
      </c>
      <c r="AP2" s="139" t="e">
        <f>t6youth6</f>
        <v>#REF!</v>
      </c>
      <c r="AQ2" s="137" t="e">
        <f>Numecodet7</f>
        <v>#REF!</v>
      </c>
      <c r="AR2" s="137" t="e">
        <f>Numealtt7</f>
        <v>#REF!</v>
      </c>
      <c r="AS2" s="141" t="e">
        <f>t7yobgsal</f>
        <v>#REF!</v>
      </c>
      <c r="AT2" s="141" t="e">
        <f>t7yobgserv</f>
        <v>#REF!</v>
      </c>
      <c r="AU2" s="141" t="e">
        <f>t7yobgprof</f>
        <v>#REF!</v>
      </c>
      <c r="AV2" s="141" t="e">
        <f>t7yobgcbo</f>
        <v>#REF!</v>
      </c>
      <c r="AW2" s="141" t="e">
        <f>t7yobgequip</f>
        <v>#REF!</v>
      </c>
      <c r="AX2" s="141" t="e">
        <f>t7yobgadmin</f>
        <v>#REF!</v>
      </c>
      <c r="AY2" s="141" t="e">
        <f>t7yobgothr1</f>
        <v>#REF!</v>
      </c>
      <c r="AZ2" s="141" t="e">
        <f>t7yobgothr2</f>
        <v>#REF!</v>
      </c>
      <c r="BA2" s="141" t="e">
        <f>t7yobgothr3</f>
        <v>#REF!</v>
      </c>
      <c r="BB2" s="141" t="e">
        <f>t7yobgtot</f>
        <v>#REF!</v>
      </c>
      <c r="BC2" s="141" t="e">
        <f>t7jjcpasal</f>
        <v>#REF!</v>
      </c>
      <c r="BD2" s="141" t="e">
        <f>t7jjcpaserv</f>
        <v>#REF!</v>
      </c>
      <c r="BE2" s="141" t="e">
        <f>t7jjcpaprof</f>
        <v>#REF!</v>
      </c>
      <c r="BF2" s="141" t="e">
        <f>t7jjcpacbo</f>
        <v>#REF!</v>
      </c>
      <c r="BG2" s="141" t="e">
        <f>t7jjcpaequip</f>
        <v>#REF!</v>
      </c>
      <c r="BH2" s="141" t="e">
        <f>t7jjcpaadmin</f>
        <v>#REF!</v>
      </c>
      <c r="BI2" s="141" t="e">
        <f>t7jjcpaothr1</f>
        <v>#REF!</v>
      </c>
      <c r="BJ2" s="141" t="e">
        <f>t7jjcpaothr2</f>
        <v>#REF!</v>
      </c>
      <c r="BK2" s="141" t="e">
        <f>t7jjcpaothr3</f>
        <v>#REF!</v>
      </c>
      <c r="BL2" s="141" t="e">
        <f>t7jjcpatot</f>
        <v>#REF!</v>
      </c>
      <c r="BM2" s="141" t="e">
        <f>t7othersal</f>
        <v>#REF!</v>
      </c>
      <c r="BN2" s="141" t="e">
        <f>t7otherserv</f>
        <v>#REF!</v>
      </c>
      <c r="BO2" s="141" t="e">
        <f>t7otherprof</f>
        <v>#REF!</v>
      </c>
      <c r="BP2" s="141" t="e">
        <f>t7othercbo</f>
        <v>#REF!</v>
      </c>
      <c r="BQ2" s="141" t="e">
        <f>t7otherequip</f>
        <v>#REF!</v>
      </c>
      <c r="BR2" s="141" t="e">
        <f>t7otheradmin</f>
        <v>#REF!</v>
      </c>
      <c r="BS2" s="141" t="e">
        <f>t7otherothr1</f>
        <v>#REF!</v>
      </c>
      <c r="BT2" s="141" t="e">
        <f>t7otherothr2</f>
        <v>#REF!</v>
      </c>
      <c r="BU2" s="141" t="e">
        <f>t7otherothr3</f>
        <v>#REF!</v>
      </c>
      <c r="BV2" s="141" t="e">
        <f>t7othertot</f>
        <v>#REF!</v>
      </c>
      <c r="BW2" s="139" t="e">
        <f>t7casecount</f>
        <v>#REF!</v>
      </c>
      <c r="BX2" s="142" t="e">
        <f>t7yobgpercap</f>
        <v>#REF!</v>
      </c>
      <c r="BY2" s="142" t="e">
        <f>t7totpercap</f>
        <v>#REF!</v>
      </c>
      <c r="BZ2" s="139" t="e">
        <f>t7youth1</f>
        <v>#REF!</v>
      </c>
      <c r="CA2" s="139" t="e">
        <f>t7youth2</f>
        <v>#REF!</v>
      </c>
      <c r="CB2" s="139" t="e">
        <f>t7youth3</f>
        <v>#REF!</v>
      </c>
      <c r="CC2" s="139" t="e">
        <f>t7youth4</f>
        <v>#REF!</v>
      </c>
      <c r="CD2" s="139" t="e">
        <f>t7youth5</f>
        <v>#REF!</v>
      </c>
      <c r="CE2" s="139" t="e">
        <f>t7youth6</f>
        <v>#REF!</v>
      </c>
      <c r="CF2" s="137" t="e">
        <f>Numecodet8</f>
        <v>#REF!</v>
      </c>
      <c r="CG2" s="137" t="e">
        <f>Numealtt8</f>
        <v>#REF!</v>
      </c>
      <c r="CH2" s="141" t="e">
        <f>t8yobgsal</f>
        <v>#REF!</v>
      </c>
      <c r="CI2" s="141" t="e">
        <f>t8yobgserv</f>
        <v>#REF!</v>
      </c>
      <c r="CJ2" s="141" t="e">
        <f>t8yobgprof</f>
        <v>#REF!</v>
      </c>
      <c r="CK2" s="141" t="e">
        <f>t8yobgcbo</f>
        <v>#REF!</v>
      </c>
      <c r="CL2" s="141" t="e">
        <f>t8yobgequip</f>
        <v>#REF!</v>
      </c>
      <c r="CM2" s="141" t="e">
        <f>t8yobgadmin</f>
        <v>#REF!</v>
      </c>
      <c r="CN2" s="141" t="e">
        <f>t8yobgothr1</f>
        <v>#REF!</v>
      </c>
      <c r="CO2" s="141" t="e">
        <f>t8yobgothr2</f>
        <v>#REF!</v>
      </c>
      <c r="CP2" s="141" t="e">
        <f>t8yobgothr3</f>
        <v>#REF!</v>
      </c>
      <c r="CQ2" s="141" t="e">
        <f>t8yobgtot</f>
        <v>#REF!</v>
      </c>
      <c r="CR2" s="141" t="e">
        <f>t8jjcpasal</f>
        <v>#REF!</v>
      </c>
      <c r="CS2" s="141" t="e">
        <f>t8jjcpaserv</f>
        <v>#REF!</v>
      </c>
      <c r="CT2" s="141" t="e">
        <f>t8jjcpaprof</f>
        <v>#REF!</v>
      </c>
      <c r="CU2" s="141" t="e">
        <f>t8jjcpacbo</f>
        <v>#REF!</v>
      </c>
      <c r="CV2" s="141" t="e">
        <f>t8jjcpaequip</f>
        <v>#REF!</v>
      </c>
      <c r="CW2" s="141" t="e">
        <f>t8jjcpaadmin</f>
        <v>#REF!</v>
      </c>
      <c r="CX2" s="141" t="e">
        <f>t8jjcpaothr1</f>
        <v>#REF!</v>
      </c>
      <c r="CY2" s="141" t="e">
        <f>t8jjcpaothr2</f>
        <v>#REF!</v>
      </c>
      <c r="CZ2" s="141" t="e">
        <f>t8jjcpaothr3</f>
        <v>#REF!</v>
      </c>
      <c r="DA2" s="141" t="e">
        <f>t8jjcpatot</f>
        <v>#REF!</v>
      </c>
      <c r="DB2" s="141" t="e">
        <f>t8othersal</f>
        <v>#REF!</v>
      </c>
      <c r="DC2" s="141" t="e">
        <f>t8otherserv</f>
        <v>#REF!</v>
      </c>
      <c r="DD2" s="141" t="e">
        <f>t8otherprof</f>
        <v>#REF!</v>
      </c>
      <c r="DE2" s="141" t="e">
        <f>t8othercbo</f>
        <v>#REF!</v>
      </c>
      <c r="DF2" s="141" t="e">
        <f>t8otherequip</f>
        <v>#REF!</v>
      </c>
      <c r="DG2" s="141" t="e">
        <f>t8otheradmin</f>
        <v>#REF!</v>
      </c>
      <c r="DH2" s="141" t="e">
        <f>t8otherothr1</f>
        <v>#REF!</v>
      </c>
      <c r="DI2" s="141" t="e">
        <f>t8otherothr2</f>
        <v>#REF!</v>
      </c>
      <c r="DJ2" s="141" t="e">
        <f>t8otherothr3</f>
        <v>#REF!</v>
      </c>
      <c r="DK2" s="141" t="e">
        <f>t8othertot</f>
        <v>#REF!</v>
      </c>
      <c r="DL2" s="139" t="e">
        <f>t8casecount</f>
        <v>#REF!</v>
      </c>
      <c r="DM2" s="142" t="e">
        <f>t8yobgpercap</f>
        <v>#REF!</v>
      </c>
      <c r="DN2" s="142" t="e">
        <f>t8totpercap</f>
        <v>#REF!</v>
      </c>
      <c r="DO2" s="139" t="e">
        <f>t8youth1</f>
        <v>#REF!</v>
      </c>
      <c r="DP2" s="139" t="e">
        <f>t8youth2</f>
        <v>#REF!</v>
      </c>
      <c r="DQ2" s="139" t="e">
        <f>t8youth3</f>
        <v>#REF!</v>
      </c>
      <c r="DR2" s="139" t="e">
        <f>t8youth4</f>
        <v>#REF!</v>
      </c>
      <c r="DS2" s="139" t="e">
        <f>t8youth5</f>
        <v>#REF!</v>
      </c>
      <c r="DT2" s="139" t="e">
        <f>t8youth6</f>
        <v>#REF!</v>
      </c>
      <c r="DU2" s="137" t="e">
        <f>Numecodet9</f>
        <v>#REF!</v>
      </c>
      <c r="DV2" s="137" t="e">
        <f>Numealtt9</f>
        <v>#REF!</v>
      </c>
      <c r="DW2" s="141" t="e">
        <f>t9yobgsal</f>
        <v>#REF!</v>
      </c>
      <c r="DX2" s="141" t="e">
        <f>t9yobgserv</f>
        <v>#REF!</v>
      </c>
      <c r="DY2" s="141" t="e">
        <f>t9yobgprof</f>
        <v>#REF!</v>
      </c>
      <c r="DZ2" s="141" t="e">
        <f>t9yobgcbo</f>
        <v>#REF!</v>
      </c>
      <c r="EA2" s="141" t="e">
        <f>t9yobgequip</f>
        <v>#REF!</v>
      </c>
      <c r="EB2" s="141" t="e">
        <f>t9yobgadmin</f>
        <v>#REF!</v>
      </c>
      <c r="EC2" s="141" t="e">
        <f>t9yobgothr1</f>
        <v>#REF!</v>
      </c>
      <c r="ED2" s="141" t="e">
        <f>t9yobgothr2</f>
        <v>#REF!</v>
      </c>
      <c r="EE2" s="141" t="e">
        <f>t9yobgothr3</f>
        <v>#REF!</v>
      </c>
      <c r="EF2" s="141" t="e">
        <f>t9yobgtot</f>
        <v>#REF!</v>
      </c>
      <c r="EG2" s="141" t="e">
        <f>t9jjcpasal</f>
        <v>#REF!</v>
      </c>
      <c r="EH2" s="141" t="e">
        <f>t9jjcpaserv</f>
        <v>#REF!</v>
      </c>
      <c r="EI2" s="141" t="e">
        <f>t9jjcpaprof</f>
        <v>#REF!</v>
      </c>
      <c r="EJ2" s="141" t="e">
        <f>t9jjcpacbo</f>
        <v>#REF!</v>
      </c>
      <c r="EK2" s="141" t="e">
        <f>t9jjcpaequip</f>
        <v>#REF!</v>
      </c>
      <c r="EL2" s="141" t="e">
        <f>t9jjcpaadmin</f>
        <v>#REF!</v>
      </c>
      <c r="EM2" s="141" t="e">
        <f>t9jjcpaothr1</f>
        <v>#REF!</v>
      </c>
      <c r="EN2" s="141" t="e">
        <f>t9jjcpaothr2</f>
        <v>#REF!</v>
      </c>
      <c r="EO2" s="141" t="e">
        <f>t9jjcpaothr3</f>
        <v>#REF!</v>
      </c>
      <c r="EP2" s="141" t="e">
        <f>t9jjcpatot</f>
        <v>#REF!</v>
      </c>
      <c r="EQ2" s="141" t="e">
        <f>t9othersal</f>
        <v>#REF!</v>
      </c>
      <c r="ER2" s="141" t="e">
        <f>t9otherserv</f>
        <v>#REF!</v>
      </c>
      <c r="ES2" s="141" t="e">
        <f>t9otherprof</f>
        <v>#REF!</v>
      </c>
      <c r="ET2" s="141" t="e">
        <f>t9othercbo</f>
        <v>#REF!</v>
      </c>
      <c r="EU2" s="141" t="e">
        <f>t9otherequip</f>
        <v>#REF!</v>
      </c>
      <c r="EV2" s="141" t="e">
        <f>t9otheradmin</f>
        <v>#REF!</v>
      </c>
      <c r="EW2" s="141" t="e">
        <f>t9otherothr1</f>
        <v>#REF!</v>
      </c>
      <c r="EX2" s="141" t="e">
        <f>t9otherothr2</f>
        <v>#REF!</v>
      </c>
      <c r="EY2" s="141" t="e">
        <f>t9otherothr3</f>
        <v>#REF!</v>
      </c>
      <c r="EZ2" s="141" t="e">
        <f>t9othertot</f>
        <v>#REF!</v>
      </c>
      <c r="FA2" s="139" t="e">
        <f>t9casecount</f>
        <v>#REF!</v>
      </c>
      <c r="FB2" s="142" t="e">
        <f>t9yobgpercap</f>
        <v>#REF!</v>
      </c>
      <c r="FC2" s="142" t="e">
        <f>t9totpercap</f>
        <v>#REF!</v>
      </c>
      <c r="FD2" s="139" t="e">
        <f>t9youth1</f>
        <v>#REF!</v>
      </c>
      <c r="FE2" s="139" t="e">
        <f>t9youth2</f>
        <v>#REF!</v>
      </c>
      <c r="FF2" s="139" t="e">
        <f>t9youth3</f>
        <v>#REF!</v>
      </c>
      <c r="FG2" s="139" t="e">
        <f>t9youth4</f>
        <v>#REF!</v>
      </c>
      <c r="FH2" s="139" t="e">
        <f>t9youth5</f>
        <v>#REF!</v>
      </c>
      <c r="FI2" s="139" t="e">
        <f>t9youth6</f>
        <v>#REF!</v>
      </c>
      <c r="FJ2" s="137" t="e">
        <f>Numecodet10</f>
        <v>#REF!</v>
      </c>
      <c r="FK2" s="137" t="e">
        <f>Numealtt10</f>
        <v>#REF!</v>
      </c>
      <c r="FL2" s="141" t="e">
        <f>t10yobgsal</f>
        <v>#REF!</v>
      </c>
      <c r="FM2" s="141" t="e">
        <f>t10yobgserv</f>
        <v>#REF!</v>
      </c>
      <c r="FN2" s="141" t="e">
        <f>t10yobgprof</f>
        <v>#REF!</v>
      </c>
      <c r="FO2" s="141" t="e">
        <f>t10yobgcbo</f>
        <v>#REF!</v>
      </c>
      <c r="FP2" s="141" t="e">
        <f>t10yobgequip</f>
        <v>#REF!</v>
      </c>
      <c r="FQ2" s="141" t="e">
        <f>t10yobgadmin</f>
        <v>#REF!</v>
      </c>
      <c r="FR2" s="141" t="e">
        <f>t10yobgothr1</f>
        <v>#REF!</v>
      </c>
      <c r="FS2" s="141" t="e">
        <f>t10yobgothr2</f>
        <v>#REF!</v>
      </c>
      <c r="FT2" s="141" t="e">
        <f>t10yobgothr3</f>
        <v>#REF!</v>
      </c>
      <c r="FU2" s="141" t="e">
        <f>t10yobgtot</f>
        <v>#REF!</v>
      </c>
      <c r="FV2" s="141" t="e">
        <f>t10jjcpasal</f>
        <v>#REF!</v>
      </c>
      <c r="FW2" s="141" t="e">
        <f>t10jjcpaserv</f>
        <v>#REF!</v>
      </c>
      <c r="FX2" s="141" t="e">
        <f>t10jjcpaprof</f>
        <v>#REF!</v>
      </c>
      <c r="FY2" s="141" t="e">
        <f>t10jjcpacbo</f>
        <v>#REF!</v>
      </c>
      <c r="FZ2" s="141" t="e">
        <f>t10jjcpaequip</f>
        <v>#REF!</v>
      </c>
      <c r="GA2" s="141" t="e">
        <f>t10jjcpaadmin</f>
        <v>#REF!</v>
      </c>
      <c r="GB2" s="141" t="e">
        <f>t10jjcpaothr1</f>
        <v>#REF!</v>
      </c>
      <c r="GC2" s="141" t="e">
        <f>t10jjcpaothr2</f>
        <v>#REF!</v>
      </c>
      <c r="GD2" s="141" t="e">
        <f>t10jjcpaothr3</f>
        <v>#REF!</v>
      </c>
      <c r="GE2" s="141" t="e">
        <f>t10jjcpatot</f>
        <v>#REF!</v>
      </c>
      <c r="GF2" s="141" t="e">
        <f>t10othersal</f>
        <v>#REF!</v>
      </c>
      <c r="GG2" s="141" t="e">
        <f>t10otherserv</f>
        <v>#REF!</v>
      </c>
      <c r="GH2" s="141" t="e">
        <f>t10otherprof</f>
        <v>#REF!</v>
      </c>
      <c r="GI2" s="141" t="e">
        <f>t10othercbo</f>
        <v>#REF!</v>
      </c>
      <c r="GJ2" s="141" t="e">
        <f>t10otherequip</f>
        <v>#REF!</v>
      </c>
      <c r="GK2" s="141" t="e">
        <f>t10otheradmin</f>
        <v>#REF!</v>
      </c>
      <c r="GL2" s="141" t="e">
        <f>t10otherothr1</f>
        <v>#REF!</v>
      </c>
      <c r="GM2" s="141" t="e">
        <f>t10otherothr2</f>
        <v>#REF!</v>
      </c>
      <c r="GN2" s="141" t="e">
        <f>t10otherothr3</f>
        <v>#REF!</v>
      </c>
      <c r="GO2" s="141" t="e">
        <f>t10othertot</f>
        <v>#REF!</v>
      </c>
      <c r="GP2" s="139" t="e">
        <f>t10casecount</f>
        <v>#REF!</v>
      </c>
      <c r="GQ2" s="142" t="e">
        <f>t10yobgpercap</f>
        <v>#REF!</v>
      </c>
      <c r="GR2" s="142" t="e">
        <f>t10totpercap</f>
        <v>#REF!</v>
      </c>
      <c r="GS2" s="139" t="e">
        <f>t10youth1</f>
        <v>#REF!</v>
      </c>
      <c r="GT2" s="139" t="e">
        <f>t10youth2</f>
        <v>#REF!</v>
      </c>
      <c r="GU2" s="139" t="e">
        <f>t10youth3</f>
        <v>#REF!</v>
      </c>
      <c r="GV2" s="139" t="e">
        <f>t10youth4</f>
        <v>#REF!</v>
      </c>
      <c r="GW2" s="139" t="e">
        <f>t10youth5</f>
        <v>#REF!</v>
      </c>
      <c r="GX2" s="139" t="e">
        <f>t10youth6</f>
        <v>#REF!</v>
      </c>
      <c r="GY2" s="139">
        <f>asi</f>
        <v>0</v>
      </c>
      <c r="GZ2" s="139">
        <f>bot</f>
        <v>0</v>
      </c>
      <c r="HA2" s="139">
        <f>COMPAS</f>
        <v>0</v>
      </c>
      <c r="HB2" s="139">
        <f>JAIS</f>
        <v>0</v>
      </c>
      <c r="HC2" s="139">
        <f>LSIR</f>
        <v>0</v>
      </c>
      <c r="HD2" s="139">
        <f>MAYSI2</f>
        <v>0</v>
      </c>
      <c r="HE2" s="139">
        <f>MAYSI</f>
        <v>0</v>
      </c>
      <c r="HF2" s="139">
        <f>NIC</f>
        <v>0</v>
      </c>
      <c r="HG2" s="139">
        <f>PACT</f>
        <v>0</v>
      </c>
      <c r="HH2" s="139">
        <f>RRC</f>
        <v>0</v>
      </c>
      <c r="HI2" s="139">
        <f>YLSCMI</f>
        <v>0</v>
      </c>
      <c r="HJ2" s="139">
        <f>othrassessmentname1</f>
        <v>0</v>
      </c>
      <c r="HK2" s="139">
        <f>othrassess1</f>
        <v>0</v>
      </c>
      <c r="HL2" s="139">
        <f>othrassessmentname2</f>
        <v>0</v>
      </c>
      <c r="HM2" s="139">
        <f>othrassess2</f>
        <v>0</v>
      </c>
      <c r="HN2" s="139">
        <f>othrassessmentname3</f>
        <v>0</v>
      </c>
      <c r="HO2" s="139">
        <f>othrassess3</f>
        <v>0</v>
      </c>
      <c r="HP2" s="139">
        <f>othrassessmentname4</f>
        <v>0</v>
      </c>
      <c r="HQ2" s="139">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37" t="s">
        <v>215</v>
      </c>
      <c r="B1" s="137" t="s">
        <v>663</v>
      </c>
      <c r="C1" s="137" t="s">
        <v>664</v>
      </c>
      <c r="D1" s="137" t="s">
        <v>665</v>
      </c>
      <c r="E1" s="137" t="s">
        <v>666</v>
      </c>
      <c r="F1" s="137" t="s">
        <v>667</v>
      </c>
      <c r="G1" s="137" t="s">
        <v>668</v>
      </c>
      <c r="H1" s="137" t="s">
        <v>669</v>
      </c>
      <c r="I1" s="137" t="s">
        <v>670</v>
      </c>
      <c r="J1" s="137" t="s">
        <v>235</v>
      </c>
      <c r="K1" s="137" t="s">
        <v>236</v>
      </c>
      <c r="L1" s="137" t="s">
        <v>671</v>
      </c>
      <c r="M1" s="137" t="s">
        <v>672</v>
      </c>
      <c r="N1" s="137" t="s">
        <v>267</v>
      </c>
      <c r="O1" s="137" t="s">
        <v>268</v>
      </c>
      <c r="P1" s="137" t="s">
        <v>269</v>
      </c>
      <c r="Q1" s="137" t="s">
        <v>673</v>
      </c>
      <c r="R1" s="137" t="s">
        <v>674</v>
      </c>
      <c r="S1" s="137" t="s">
        <v>675</v>
      </c>
      <c r="T1" s="137" t="s">
        <v>676</v>
      </c>
      <c r="U1" s="137" t="s">
        <v>677</v>
      </c>
      <c r="V1" s="137" t="s">
        <v>678</v>
      </c>
      <c r="W1" s="137" t="s">
        <v>679</v>
      </c>
      <c r="X1" s="137" t="s">
        <v>276</v>
      </c>
      <c r="Y1" s="137" t="s">
        <v>277</v>
      </c>
      <c r="Z1" s="137" t="s">
        <v>680</v>
      </c>
      <c r="AA1" s="137" t="s">
        <v>681</v>
      </c>
      <c r="AB1" s="137" t="s">
        <v>308</v>
      </c>
      <c r="AC1" s="137" t="s">
        <v>309</v>
      </c>
      <c r="AD1" s="137" t="s">
        <v>310</v>
      </c>
      <c r="AE1" s="137" t="s">
        <v>682</v>
      </c>
      <c r="AF1" s="137" t="s">
        <v>683</v>
      </c>
      <c r="AG1" s="137" t="s">
        <v>684</v>
      </c>
      <c r="AH1" s="137" t="s">
        <v>685</v>
      </c>
      <c r="AI1" s="137" t="s">
        <v>686</v>
      </c>
      <c r="AJ1" s="137" t="s">
        <v>687</v>
      </c>
      <c r="AK1" s="137" t="s">
        <v>688</v>
      </c>
      <c r="AL1" s="137" t="s">
        <v>317</v>
      </c>
      <c r="AM1" s="137" t="s">
        <v>318</v>
      </c>
      <c r="AN1" s="137" t="s">
        <v>689</v>
      </c>
      <c r="AO1" s="137" t="s">
        <v>690</v>
      </c>
      <c r="AP1" s="137" t="s">
        <v>349</v>
      </c>
      <c r="AQ1" s="137" t="s">
        <v>350</v>
      </c>
      <c r="AR1" s="137" t="s">
        <v>351</v>
      </c>
      <c r="AS1" s="137" t="s">
        <v>691</v>
      </c>
      <c r="AT1" s="137" t="s">
        <v>692</v>
      </c>
      <c r="AU1" s="137" t="s">
        <v>693</v>
      </c>
      <c r="AV1" s="137" t="s">
        <v>694</v>
      </c>
      <c r="AW1" s="137" t="s">
        <v>695</v>
      </c>
      <c r="AX1" s="137" t="s">
        <v>696</v>
      </c>
      <c r="AY1" s="137" t="s">
        <v>697</v>
      </c>
      <c r="AZ1" s="137" t="s">
        <v>358</v>
      </c>
      <c r="BA1" s="137" t="s">
        <v>359</v>
      </c>
      <c r="BB1" s="137" t="s">
        <v>698</v>
      </c>
      <c r="BC1" s="137" t="s">
        <v>699</v>
      </c>
      <c r="BD1" s="137" t="s">
        <v>390</v>
      </c>
      <c r="BE1" s="137" t="s">
        <v>391</v>
      </c>
      <c r="BF1" s="137" t="s">
        <v>392</v>
      </c>
      <c r="BG1" s="137" t="s">
        <v>700</v>
      </c>
      <c r="BH1" s="137" t="s">
        <v>701</v>
      </c>
      <c r="BI1" s="137" t="s">
        <v>702</v>
      </c>
      <c r="BJ1" s="137" t="s">
        <v>703</v>
      </c>
      <c r="BK1" s="137" t="s">
        <v>704</v>
      </c>
      <c r="BL1" s="137" t="s">
        <v>705</v>
      </c>
      <c r="BM1" s="137" t="s">
        <v>706</v>
      </c>
      <c r="BN1" s="137" t="s">
        <v>399</v>
      </c>
      <c r="BO1" s="137" t="s">
        <v>400</v>
      </c>
      <c r="BP1" s="137" t="s">
        <v>707</v>
      </c>
      <c r="BQ1" s="137" t="s">
        <v>708</v>
      </c>
      <c r="BR1" s="137" t="s">
        <v>431</v>
      </c>
      <c r="BS1" s="137" t="s">
        <v>432</v>
      </c>
      <c r="BT1" s="137" t="s">
        <v>433</v>
      </c>
      <c r="BU1" s="137" t="s">
        <v>709</v>
      </c>
      <c r="BV1" s="137" t="s">
        <v>710</v>
      </c>
      <c r="BW1" s="137" t="s">
        <v>711</v>
      </c>
      <c r="BX1" s="137" t="s">
        <v>712</v>
      </c>
      <c r="BY1" s="137" t="s">
        <v>713</v>
      </c>
      <c r="BZ1" s="137" t="s">
        <v>714</v>
      </c>
      <c r="CA1" s="137" t="s">
        <v>715</v>
      </c>
      <c r="CB1" s="137" t="s">
        <v>440</v>
      </c>
      <c r="CC1" s="137" t="s">
        <v>441</v>
      </c>
      <c r="CD1" s="137" t="s">
        <v>716</v>
      </c>
      <c r="CE1" s="137" t="s">
        <v>717</v>
      </c>
      <c r="CF1" s="137" t="s">
        <v>472</v>
      </c>
      <c r="CG1" s="137" t="s">
        <v>473</v>
      </c>
      <c r="CH1" s="137" t="s">
        <v>474</v>
      </c>
      <c r="CI1" s="137" t="s">
        <v>718</v>
      </c>
      <c r="CJ1" s="137" t="s">
        <v>719</v>
      </c>
      <c r="CK1" s="137" t="s">
        <v>720</v>
      </c>
      <c r="CL1" s="137" t="s">
        <v>721</v>
      </c>
      <c r="CM1" s="137" t="s">
        <v>722</v>
      </c>
      <c r="CN1" s="137" t="s">
        <v>723</v>
      </c>
      <c r="CO1" s="137" t="s">
        <v>724</v>
      </c>
      <c r="CP1" s="137" t="s">
        <v>481</v>
      </c>
      <c r="CQ1" s="137" t="s">
        <v>482</v>
      </c>
      <c r="CR1" s="137" t="s">
        <v>725</v>
      </c>
      <c r="CS1" s="137" t="s">
        <v>726</v>
      </c>
      <c r="CT1" s="137" t="s">
        <v>513</v>
      </c>
      <c r="CU1" s="137" t="s">
        <v>514</v>
      </c>
      <c r="CV1" s="137" t="s">
        <v>515</v>
      </c>
      <c r="CW1" s="137" t="s">
        <v>727</v>
      </c>
      <c r="CX1" s="137" t="s">
        <v>728</v>
      </c>
      <c r="CY1" s="137" t="s">
        <v>729</v>
      </c>
      <c r="CZ1" s="137" t="s">
        <v>730</v>
      </c>
      <c r="DA1" s="137" t="s">
        <v>731</v>
      </c>
      <c r="DB1" s="137" t="s">
        <v>732</v>
      </c>
      <c r="DC1" s="137" t="s">
        <v>733</v>
      </c>
      <c r="DD1" s="137" t="s">
        <v>522</v>
      </c>
      <c r="DE1" s="137" t="s">
        <v>523</v>
      </c>
      <c r="DF1" s="137" t="s">
        <v>734</v>
      </c>
      <c r="DG1" s="137" t="s">
        <v>735</v>
      </c>
      <c r="DH1" s="137" t="s">
        <v>554</v>
      </c>
      <c r="DI1" s="137" t="s">
        <v>555</v>
      </c>
      <c r="DJ1" s="137" t="s">
        <v>556</v>
      </c>
      <c r="DK1" s="137" t="s">
        <v>736</v>
      </c>
      <c r="DL1" s="137" t="s">
        <v>737</v>
      </c>
      <c r="DM1" s="137" t="s">
        <v>738</v>
      </c>
      <c r="DN1" s="137" t="s">
        <v>739</v>
      </c>
      <c r="DO1" s="137" t="s">
        <v>740</v>
      </c>
      <c r="DP1" s="137" t="s">
        <v>741</v>
      </c>
      <c r="DQ1" s="137" t="s">
        <v>742</v>
      </c>
      <c r="DR1" s="137" t="s">
        <v>563</v>
      </c>
      <c r="DS1" s="137" t="s">
        <v>564</v>
      </c>
      <c r="DT1" s="137" t="s">
        <v>743</v>
      </c>
      <c r="DU1" s="137" t="s">
        <v>744</v>
      </c>
      <c r="DV1" s="137" t="s">
        <v>595</v>
      </c>
      <c r="DW1" s="137" t="s">
        <v>596</v>
      </c>
      <c r="DX1" s="137" t="s">
        <v>597</v>
      </c>
      <c r="DY1" s="137" t="s">
        <v>745</v>
      </c>
      <c r="DZ1" s="137" t="s">
        <v>746</v>
      </c>
      <c r="EA1" s="137" t="s">
        <v>747</v>
      </c>
      <c r="EB1" s="137" t="s">
        <v>748</v>
      </c>
      <c r="EC1" s="137" t="s">
        <v>749</v>
      </c>
      <c r="ED1" s="137" t="s">
        <v>750</v>
      </c>
      <c r="EE1" s="137" t="s">
        <v>751</v>
      </c>
      <c r="EF1" s="137" t="s">
        <v>604</v>
      </c>
      <c r="EG1" s="137" t="s">
        <v>605</v>
      </c>
      <c r="EH1" s="137" t="s">
        <v>752</v>
      </c>
      <c r="EI1" s="137" t="s">
        <v>753</v>
      </c>
      <c r="EJ1" s="137" t="s">
        <v>636</v>
      </c>
      <c r="EK1" s="137" t="s">
        <v>637</v>
      </c>
      <c r="EL1" s="137" t="s">
        <v>638</v>
      </c>
      <c r="EM1" s="137" t="s">
        <v>754</v>
      </c>
      <c r="EN1" s="137" t="s">
        <v>755</v>
      </c>
      <c r="EO1" s="137" t="s">
        <v>756</v>
      </c>
      <c r="EP1" s="137" t="s">
        <v>757</v>
      </c>
      <c r="EQ1" s="137" t="s">
        <v>758</v>
      </c>
      <c r="ER1" s="137" t="s">
        <v>759</v>
      </c>
      <c r="ES1" s="137" t="s">
        <v>760</v>
      </c>
      <c r="ET1" s="33" t="s">
        <v>761</v>
      </c>
      <c r="EU1" s="33" t="s">
        <v>762</v>
      </c>
      <c r="EV1" s="33" t="s">
        <v>763</v>
      </c>
      <c r="EW1" s="137" t="s">
        <v>764</v>
      </c>
      <c r="EX1" s="137" t="s">
        <v>765</v>
      </c>
      <c r="EY1" s="137" t="s">
        <v>766</v>
      </c>
      <c r="EZ1" s="137" t="s">
        <v>767</v>
      </c>
      <c r="FA1" s="137" t="s">
        <v>768</v>
      </c>
      <c r="FB1" s="33" t="s">
        <v>769</v>
      </c>
      <c r="FC1" s="137" t="s">
        <v>770</v>
      </c>
      <c r="FD1" s="137" t="s">
        <v>771</v>
      </c>
      <c r="FE1" s="137" t="s">
        <v>772</v>
      </c>
      <c r="FF1" s="137" t="s">
        <v>773</v>
      </c>
      <c r="FG1" s="137" t="s">
        <v>774</v>
      </c>
      <c r="FH1" s="137" t="s">
        <v>775</v>
      </c>
      <c r="FI1" s="137" t="s">
        <v>776</v>
      </c>
      <c r="FJ1" s="137" t="s">
        <v>777</v>
      </c>
      <c r="FK1" s="137" t="s">
        <v>778</v>
      </c>
      <c r="FL1" s="137" t="s">
        <v>779</v>
      </c>
      <c r="FM1" s="137" t="s">
        <v>780</v>
      </c>
      <c r="FN1" s="137" t="s">
        <v>781</v>
      </c>
      <c r="FO1" s="137" t="s">
        <v>782</v>
      </c>
      <c r="FP1" s="137" t="s">
        <v>783</v>
      </c>
      <c r="FQ1" s="137" t="s">
        <v>784</v>
      </c>
      <c r="FR1" s="137" t="s">
        <v>785</v>
      </c>
      <c r="FS1" s="137" t="s">
        <v>786</v>
      </c>
      <c r="FT1" s="137" t="s">
        <v>787</v>
      </c>
      <c r="FU1" s="137" t="s">
        <v>788</v>
      </c>
      <c r="FV1" s="137" t="s">
        <v>789</v>
      </c>
      <c r="FW1" s="137" t="s">
        <v>790</v>
      </c>
      <c r="FX1" s="137" t="s">
        <v>791</v>
      </c>
      <c r="FY1" s="137" t="s">
        <v>792</v>
      </c>
      <c r="FZ1" s="137" t="s">
        <v>793</v>
      </c>
      <c r="GA1" s="137" t="s">
        <v>794</v>
      </c>
      <c r="GB1" s="137" t="s">
        <v>795</v>
      </c>
      <c r="GC1" s="137" t="s">
        <v>796</v>
      </c>
      <c r="GD1" s="137" t="s">
        <v>797</v>
      </c>
      <c r="GE1" s="137" t="s">
        <v>798</v>
      </c>
      <c r="GF1" s="137" t="s">
        <v>799</v>
      </c>
      <c r="GG1" s="137" t="s">
        <v>800</v>
      </c>
      <c r="GH1" s="137" t="s">
        <v>801</v>
      </c>
      <c r="GI1" s="137" t="s">
        <v>802</v>
      </c>
      <c r="GJ1" s="137" t="s">
        <v>803</v>
      </c>
      <c r="GK1" s="137" t="s">
        <v>804</v>
      </c>
      <c r="GL1" s="137" t="s">
        <v>805</v>
      </c>
      <c r="GM1" s="137" t="s">
        <v>806</v>
      </c>
      <c r="GN1" s="137" t="s">
        <v>807</v>
      </c>
      <c r="GO1" s="137" t="s">
        <v>808</v>
      </c>
      <c r="GP1" s="137" t="s">
        <v>809</v>
      </c>
      <c r="GQ1" s="137" t="s">
        <v>810</v>
      </c>
      <c r="GR1" s="137" t="s">
        <v>811</v>
      </c>
      <c r="GS1" s="137" t="s">
        <v>812</v>
      </c>
      <c r="GT1" s="137" t="s">
        <v>813</v>
      </c>
      <c r="GU1" s="137" t="s">
        <v>814</v>
      </c>
      <c r="GV1" s="137" t="s">
        <v>815</v>
      </c>
      <c r="GW1" s="137" t="s">
        <v>816</v>
      </c>
      <c r="GX1" s="137" t="s">
        <v>817</v>
      </c>
      <c r="GY1" s="137" t="s">
        <v>818</v>
      </c>
      <c r="GZ1" s="137" t="s">
        <v>819</v>
      </c>
      <c r="HA1" s="137" t="s">
        <v>820</v>
      </c>
      <c r="HB1" s="137" t="s">
        <v>821</v>
      </c>
    </row>
    <row r="2" spans="1:210" ht="12.75" customHeight="1">
      <c r="A2" s="16" t="str">
        <f>County</f>
        <v>Yolo</v>
      </c>
      <c r="B2" s="139">
        <f>coord1</f>
        <v>0</v>
      </c>
      <c r="C2" s="139">
        <f>coord2</f>
        <v>0</v>
      </c>
      <c r="D2" s="139">
        <f>strategy</f>
        <v>0</v>
      </c>
      <c r="E2" s="139">
        <f>stratnar</f>
        <v>0</v>
      </c>
      <c r="F2" s="139">
        <f>stratdf</f>
        <v>0</v>
      </c>
      <c r="G2" s="139">
        <f>stratplan</f>
        <v>0</v>
      </c>
      <c r="H2" s="139">
        <f>coordnar</f>
        <v>0</v>
      </c>
      <c r="I2" s="137">
        <f>regional</f>
        <v>0</v>
      </c>
      <c r="J2" s="137" t="e">
        <f>Numecodet1</f>
        <v>#REF!</v>
      </c>
      <c r="K2" s="137" t="e">
        <f>Numealtt1</f>
        <v>#REF!</v>
      </c>
      <c r="L2" s="137" t="e">
        <f>JJCPAt1</f>
        <v>#REF!</v>
      </c>
      <c r="M2" s="137" t="e">
        <f>Othert1</f>
        <v>#REF!</v>
      </c>
      <c r="N2" s="139" t="e">
        <f>t1casecount</f>
        <v>#REF!</v>
      </c>
      <c r="O2" s="142" t="e">
        <f>t1yobgpercap</f>
        <v>#REF!</v>
      </c>
      <c r="P2" s="142" t="e">
        <f>t1totpercap</f>
        <v>#REF!</v>
      </c>
      <c r="Q2" s="137" t="e">
        <f>t1nar</f>
        <v>#REF!</v>
      </c>
      <c r="R2" s="137" t="e">
        <f>t1goal</f>
        <v>#REF!</v>
      </c>
      <c r="S2" s="137" t="e">
        <f>t1barrier</f>
        <v>#REF!</v>
      </c>
      <c r="T2" s="137" t="e">
        <f>t1funds</f>
        <v>#REF!</v>
      </c>
      <c r="U2" s="137" t="e">
        <f>t1other1</f>
        <v>#REF!</v>
      </c>
      <c r="V2" s="137" t="e">
        <f>t1other2</f>
        <v>#REF!</v>
      </c>
      <c r="W2" s="137" t="e">
        <f>t1other3</f>
        <v>#REF!</v>
      </c>
      <c r="X2" s="137" t="e">
        <f>Numecodet2</f>
        <v>#REF!</v>
      </c>
      <c r="Y2" s="137" t="e">
        <f>Numealtt2</f>
        <v>#REF!</v>
      </c>
      <c r="Z2" s="137" t="e">
        <f>JJCPAt2</f>
        <v>#REF!</v>
      </c>
      <c r="AA2" s="137" t="e">
        <f>Othert2</f>
        <v>#REF!</v>
      </c>
      <c r="AB2" s="139" t="e">
        <f>t2casecount</f>
        <v>#REF!</v>
      </c>
      <c r="AC2" s="142" t="e">
        <f>t2yobgpercap</f>
        <v>#REF!</v>
      </c>
      <c r="AD2" s="142" t="e">
        <f>t2totpercap</f>
        <v>#REF!</v>
      </c>
      <c r="AE2" s="137" t="e">
        <f>t2nar</f>
        <v>#REF!</v>
      </c>
      <c r="AF2" s="137" t="e">
        <f>t2goal</f>
        <v>#REF!</v>
      </c>
      <c r="AG2" s="137" t="e">
        <f>t2barrier</f>
        <v>#REF!</v>
      </c>
      <c r="AH2" s="137" t="e">
        <f>t2funds</f>
        <v>#REF!</v>
      </c>
      <c r="AI2" s="137" t="e">
        <f>t2other1</f>
        <v>#REF!</v>
      </c>
      <c r="AJ2" s="137" t="e">
        <f>t2other2</f>
        <v>#REF!</v>
      </c>
      <c r="AK2" s="137" t="e">
        <f>t2other3</f>
        <v>#REF!</v>
      </c>
      <c r="AL2" s="137" t="e">
        <f>Numecodet3</f>
        <v>#REF!</v>
      </c>
      <c r="AM2" s="137" t="e">
        <f>Numealtt3</f>
        <v>#REF!</v>
      </c>
      <c r="AN2" s="137" t="e">
        <f>JJCPAt3</f>
        <v>#REF!</v>
      </c>
      <c r="AO2" s="137" t="e">
        <f>Othert3</f>
        <v>#REF!</v>
      </c>
      <c r="AP2" s="139" t="e">
        <f>t3casecount</f>
        <v>#REF!</v>
      </c>
      <c r="AQ2" s="142" t="e">
        <f>t3yobgpercap</f>
        <v>#REF!</v>
      </c>
      <c r="AR2" s="142" t="e">
        <f>t3totpercap</f>
        <v>#REF!</v>
      </c>
      <c r="AS2" s="137" t="e">
        <f>t3nar</f>
        <v>#REF!</v>
      </c>
      <c r="AT2" s="137" t="e">
        <f>t3goal</f>
        <v>#REF!</v>
      </c>
      <c r="AU2" s="137" t="e">
        <f>t3barrier</f>
        <v>#REF!</v>
      </c>
      <c r="AV2" s="137" t="e">
        <f>t3funds</f>
        <v>#REF!</v>
      </c>
      <c r="AW2" s="137" t="e">
        <f>t3other1</f>
        <v>#REF!</v>
      </c>
      <c r="AX2" s="137" t="e">
        <f>t3other2</f>
        <v>#REF!</v>
      </c>
      <c r="AY2" s="137" t="e">
        <f>t3other3</f>
        <v>#REF!</v>
      </c>
      <c r="AZ2" s="137" t="e">
        <f>Numecodet4</f>
        <v>#REF!</v>
      </c>
      <c r="BA2" s="137" t="e">
        <f>Numealtt4</f>
        <v>#REF!</v>
      </c>
      <c r="BB2" s="137" t="e">
        <f>JJCPAt4</f>
        <v>#REF!</v>
      </c>
      <c r="BC2" s="137" t="e">
        <f>Othert4</f>
        <v>#REF!</v>
      </c>
      <c r="BD2" s="139" t="e">
        <f>t4casecount</f>
        <v>#REF!</v>
      </c>
      <c r="BE2" s="142" t="e">
        <f>t4yobgpercap</f>
        <v>#REF!</v>
      </c>
      <c r="BF2" s="142" t="e">
        <f>t4totpercap</f>
        <v>#REF!</v>
      </c>
      <c r="BG2" s="137" t="e">
        <f>t4nar</f>
        <v>#REF!</v>
      </c>
      <c r="BH2" s="137" t="e">
        <f>t4goal</f>
        <v>#REF!</v>
      </c>
      <c r="BI2" s="137" t="e">
        <f>t4barrier</f>
        <v>#REF!</v>
      </c>
      <c r="BJ2" s="137" t="e">
        <f>t4funds</f>
        <v>#REF!</v>
      </c>
      <c r="BK2" s="137" t="e">
        <f>t4other1</f>
        <v>#REF!</v>
      </c>
      <c r="BL2" s="137" t="e">
        <f>t4other2</f>
        <v>#REF!</v>
      </c>
      <c r="BM2" s="137" t="e">
        <f>t4other3</f>
        <v>#REF!</v>
      </c>
      <c r="BN2" s="137" t="e">
        <f>Numecodet5</f>
        <v>#REF!</v>
      </c>
      <c r="BO2" s="137" t="e">
        <f>Numealtt5</f>
        <v>#REF!</v>
      </c>
      <c r="BP2" s="137" t="e">
        <f>JJCPAt5</f>
        <v>#REF!</v>
      </c>
      <c r="BQ2" s="137" t="e">
        <f>Othert5</f>
        <v>#REF!</v>
      </c>
      <c r="BR2" s="139" t="e">
        <f>t5casecount</f>
        <v>#REF!</v>
      </c>
      <c r="BS2" s="142" t="e">
        <f>t5yobgpercap</f>
        <v>#REF!</v>
      </c>
      <c r="BT2" s="142" t="e">
        <f>t5totpercap</f>
        <v>#REF!</v>
      </c>
      <c r="BU2" s="137" t="e">
        <f>t5nar</f>
        <v>#REF!</v>
      </c>
      <c r="BV2" s="137" t="e">
        <f>t5goal</f>
        <v>#REF!</v>
      </c>
      <c r="BW2" s="137" t="e">
        <f>t5barrier</f>
        <v>#REF!</v>
      </c>
      <c r="BX2" s="137" t="e">
        <f>t5funds</f>
        <v>#REF!</v>
      </c>
      <c r="BY2" s="137" t="e">
        <f>t5other1</f>
        <v>#REF!</v>
      </c>
      <c r="BZ2" s="137" t="e">
        <f>t5other2</f>
        <v>#REF!</v>
      </c>
      <c r="CA2" s="137" t="e">
        <f>t5other3</f>
        <v>#REF!</v>
      </c>
      <c r="CB2" s="137" t="e">
        <f>Numecodet6</f>
        <v>#REF!</v>
      </c>
      <c r="CC2" s="137" t="e">
        <f>Numealtt6</f>
        <v>#REF!</v>
      </c>
      <c r="CD2" s="137" t="e">
        <f>JJCPAt6</f>
        <v>#REF!</v>
      </c>
      <c r="CE2" s="137" t="e">
        <f>Othert6</f>
        <v>#REF!</v>
      </c>
      <c r="CF2" s="139" t="e">
        <f>t6casecount</f>
        <v>#REF!</v>
      </c>
      <c r="CG2" s="142" t="e">
        <f>t6yobgpercap</f>
        <v>#REF!</v>
      </c>
      <c r="CH2" s="142" t="e">
        <f>t6totpercap</f>
        <v>#REF!</v>
      </c>
      <c r="CI2" s="137" t="e">
        <f>t6nar</f>
        <v>#REF!</v>
      </c>
      <c r="CJ2" s="137" t="e">
        <f>t6goal</f>
        <v>#REF!</v>
      </c>
      <c r="CK2" s="137" t="e">
        <f>t6barrier</f>
        <v>#REF!</v>
      </c>
      <c r="CL2" s="137" t="e">
        <f>t6funds</f>
        <v>#REF!</v>
      </c>
      <c r="CM2" s="137" t="e">
        <f>t6other1</f>
        <v>#REF!</v>
      </c>
      <c r="CN2" s="137" t="e">
        <f>t6other2</f>
        <v>#REF!</v>
      </c>
      <c r="CO2" s="137" t="e">
        <f>t6other3</f>
        <v>#REF!</v>
      </c>
      <c r="CP2" s="137" t="e">
        <f>Numecodet7</f>
        <v>#REF!</v>
      </c>
      <c r="CQ2" s="137" t="e">
        <f>Numealtt7</f>
        <v>#REF!</v>
      </c>
      <c r="CR2" s="137" t="e">
        <f>JJCPAt7</f>
        <v>#REF!</v>
      </c>
      <c r="CS2" s="137" t="e">
        <f>Othert7</f>
        <v>#REF!</v>
      </c>
      <c r="CT2" s="139" t="e">
        <f>t7casecount</f>
        <v>#REF!</v>
      </c>
      <c r="CU2" s="142" t="e">
        <f>t7yobgpercap</f>
        <v>#REF!</v>
      </c>
      <c r="CV2" s="142" t="e">
        <f>t7totpercap</f>
        <v>#REF!</v>
      </c>
      <c r="CW2" s="137" t="e">
        <f>t7nar</f>
        <v>#REF!</v>
      </c>
      <c r="CX2" s="137" t="e">
        <f>t7goal</f>
        <v>#REF!</v>
      </c>
      <c r="CY2" s="137" t="e">
        <f>t7barrier</f>
        <v>#REF!</v>
      </c>
      <c r="CZ2" s="137" t="e">
        <f>t7funds</f>
        <v>#REF!</v>
      </c>
      <c r="DA2" s="137" t="e">
        <f>t7other1</f>
        <v>#REF!</v>
      </c>
      <c r="DB2" s="137" t="e">
        <f>t7other2</f>
        <v>#REF!</v>
      </c>
      <c r="DC2" s="137" t="e">
        <f>t7other3</f>
        <v>#REF!</v>
      </c>
      <c r="DD2" s="137" t="e">
        <f>Numecodet8</f>
        <v>#REF!</v>
      </c>
      <c r="DE2" s="137" t="e">
        <f>Numealtt8</f>
        <v>#REF!</v>
      </c>
      <c r="DF2" s="137" t="e">
        <f>JJCPAt8</f>
        <v>#REF!</v>
      </c>
      <c r="DG2" s="137" t="e">
        <f>Othert8</f>
        <v>#REF!</v>
      </c>
      <c r="DH2" s="139" t="e">
        <f>t8casecount</f>
        <v>#REF!</v>
      </c>
      <c r="DI2" s="142" t="e">
        <f>t8yobgpercap</f>
        <v>#REF!</v>
      </c>
      <c r="DJ2" s="142" t="e">
        <f>t8totpercap</f>
        <v>#REF!</v>
      </c>
      <c r="DK2" s="137" t="e">
        <f>t8nar</f>
        <v>#REF!</v>
      </c>
      <c r="DL2" s="137" t="e">
        <f>t8goal</f>
        <v>#REF!</v>
      </c>
      <c r="DM2" s="137" t="e">
        <f>t8barrier</f>
        <v>#REF!</v>
      </c>
      <c r="DN2" s="137" t="e">
        <f>t8funds</f>
        <v>#REF!</v>
      </c>
      <c r="DO2" s="137" t="e">
        <f>t8other1</f>
        <v>#REF!</v>
      </c>
      <c r="DP2" s="137" t="e">
        <f>t8other2</f>
        <v>#REF!</v>
      </c>
      <c r="DQ2" s="137" t="e">
        <f>t8other3</f>
        <v>#REF!</v>
      </c>
      <c r="DR2" s="137" t="e">
        <f>Numecodet9</f>
        <v>#REF!</v>
      </c>
      <c r="DS2" s="137" t="e">
        <f>Numealtt9</f>
        <v>#REF!</v>
      </c>
      <c r="DT2" s="137" t="e">
        <f>JJCPAt9</f>
        <v>#REF!</v>
      </c>
      <c r="DU2" s="137" t="e">
        <f>Othert9</f>
        <v>#REF!</v>
      </c>
      <c r="DV2" s="139" t="e">
        <f>t9casecount</f>
        <v>#REF!</v>
      </c>
      <c r="DW2" s="142" t="e">
        <f>t9yobgpercap</f>
        <v>#REF!</v>
      </c>
      <c r="DX2" s="142" t="e">
        <f>t9totpercap</f>
        <v>#REF!</v>
      </c>
      <c r="DY2" s="137" t="e">
        <f>t9nar</f>
        <v>#REF!</v>
      </c>
      <c r="DZ2" s="137" t="e">
        <f>t9goal</f>
        <v>#REF!</v>
      </c>
      <c r="EA2" s="137" t="e">
        <f>t9barrier</f>
        <v>#REF!</v>
      </c>
      <c r="EB2" s="137" t="e">
        <f>t9funds</f>
        <v>#REF!</v>
      </c>
      <c r="EC2" s="137" t="e">
        <f>t9other1</f>
        <v>#REF!</v>
      </c>
      <c r="ED2" s="137" t="e">
        <f>t9other2</f>
        <v>#REF!</v>
      </c>
      <c r="EE2" s="137" t="e">
        <f>t9other3</f>
        <v>#REF!</v>
      </c>
      <c r="EF2" s="137" t="e">
        <f>Numecodet10</f>
        <v>#REF!</v>
      </c>
      <c r="EG2" s="137" t="e">
        <f>Numealtt10</f>
        <v>#REF!</v>
      </c>
      <c r="EH2" s="137" t="e">
        <f>JJCPAt10</f>
        <v>#REF!</v>
      </c>
      <c r="EI2" s="137" t="e">
        <f>Othert10</f>
        <v>#REF!</v>
      </c>
      <c r="EJ2" s="139" t="e">
        <f>t10casecount</f>
        <v>#REF!</v>
      </c>
      <c r="EK2" s="142" t="e">
        <f>t10yobgpercap</f>
        <v>#REF!</v>
      </c>
      <c r="EL2" s="142" t="e">
        <f>t10totpercap</f>
        <v>#REF!</v>
      </c>
      <c r="EM2" s="137" t="e">
        <f>t10nar</f>
        <v>#REF!</v>
      </c>
      <c r="EN2" s="137" t="e">
        <f>t10goal</f>
        <v>#REF!</v>
      </c>
      <c r="EO2" s="137" t="e">
        <f>t10barrier</f>
        <v>#REF!</v>
      </c>
      <c r="EP2" s="137" t="e">
        <f>t10funds</f>
        <v>#REF!</v>
      </c>
      <c r="EQ2" s="137" t="e">
        <f>t10other1</f>
        <v>#REF!</v>
      </c>
      <c r="ER2" s="137" t="e">
        <f>t10other2</f>
        <v>#REF!</v>
      </c>
      <c r="ES2" s="137" t="e">
        <f>t10other3</f>
        <v>#REF!</v>
      </c>
      <c r="ET2" s="141" t="e">
        <f>totyobgexp</f>
        <v>#REF!</v>
      </c>
      <c r="EU2" s="141" t="e">
        <f>fy1314all</f>
        <v>#REF!</v>
      </c>
      <c r="EV2" s="141" t="e">
        <f>fy1213all</f>
        <v>#REF!</v>
      </c>
      <c r="EW2" s="141" t="e">
        <f>fy1112all</f>
        <v>#REF!</v>
      </c>
      <c r="EX2" s="141" t="e">
        <f>fy1011all</f>
        <v>#REF!</v>
      </c>
      <c r="EY2" s="141" t="e">
        <f>fy0910all</f>
        <v>#REF!</v>
      </c>
      <c r="EZ2" s="141" t="e">
        <f>fy0809all</f>
        <v>#REF!</v>
      </c>
      <c r="FA2" s="141" t="e">
        <f>fy0708all</f>
        <v>#REF!</v>
      </c>
      <c r="FB2" s="141" t="e">
        <f>totforall</f>
        <v>#REF!</v>
      </c>
      <c r="FC2" s="141" t="e">
        <f>discrep</f>
        <v>#REF!</v>
      </c>
      <c r="FD2" s="137" t="e">
        <f>discexpl</f>
        <v>#REF!</v>
      </c>
      <c r="FE2" s="137" t="e">
        <f>Numecodet1</f>
        <v>#REF!</v>
      </c>
      <c r="FF2" s="137" t="e">
        <f>JJCPAt1</f>
        <v>#REF!</v>
      </c>
      <c r="FG2" s="141" t="e">
        <f>t1jjcpatot</f>
        <v>#REF!</v>
      </c>
      <c r="FH2" s="137" t="e">
        <f>Othert1</f>
        <v>#REF!</v>
      </c>
      <c r="FI2" s="141" t="e">
        <f>t1othertot</f>
        <v>#REF!</v>
      </c>
      <c r="FJ2" s="137" t="e">
        <f>Numecodet2</f>
        <v>#REF!</v>
      </c>
      <c r="FK2" s="137" t="e">
        <f>JJCPAt2</f>
        <v>#REF!</v>
      </c>
      <c r="FL2" s="141" t="e">
        <f>t2jjcpatot</f>
        <v>#REF!</v>
      </c>
      <c r="FM2" s="137" t="e">
        <f>Othert2</f>
        <v>#REF!</v>
      </c>
      <c r="FN2" s="141" t="e">
        <f>t2othertot</f>
        <v>#REF!</v>
      </c>
      <c r="FO2" s="137" t="e">
        <f>Numecodet3</f>
        <v>#REF!</v>
      </c>
      <c r="FP2" s="137" t="e">
        <f>JJCPAt3</f>
        <v>#REF!</v>
      </c>
      <c r="FQ2" s="141" t="e">
        <f>t3jjcpatot</f>
        <v>#REF!</v>
      </c>
      <c r="FR2" s="137" t="e">
        <f>Othert3</f>
        <v>#REF!</v>
      </c>
      <c r="FS2" s="141" t="e">
        <f>t3othertot</f>
        <v>#REF!</v>
      </c>
      <c r="FT2" s="137" t="e">
        <f>Numecodet4</f>
        <v>#REF!</v>
      </c>
      <c r="FU2" s="137" t="e">
        <f>JJCPAt4</f>
        <v>#REF!</v>
      </c>
      <c r="FV2" s="141" t="e">
        <f>t4jjcpatot</f>
        <v>#REF!</v>
      </c>
      <c r="FW2" s="137" t="e">
        <f>Othert4</f>
        <v>#REF!</v>
      </c>
      <c r="FX2" s="141" t="e">
        <f>t4othertot</f>
        <v>#REF!</v>
      </c>
      <c r="FY2" s="137" t="e">
        <f>Numecodet5</f>
        <v>#REF!</v>
      </c>
      <c r="FZ2" s="137" t="e">
        <f>JJCPAt5</f>
        <v>#REF!</v>
      </c>
      <c r="GA2" s="141" t="e">
        <f>t5jjcpatot</f>
        <v>#REF!</v>
      </c>
      <c r="GB2" s="137" t="e">
        <f>Othert5</f>
        <v>#REF!</v>
      </c>
      <c r="GC2" s="141" t="e">
        <f>t5othertot</f>
        <v>#REF!</v>
      </c>
      <c r="GD2" s="137" t="e">
        <f>Numecodet6</f>
        <v>#REF!</v>
      </c>
      <c r="GE2" s="137" t="e">
        <f>JJCPAt6</f>
        <v>#REF!</v>
      </c>
      <c r="GF2" s="141" t="e">
        <f>t6jjcpatot</f>
        <v>#REF!</v>
      </c>
      <c r="GG2" s="137" t="e">
        <f>Othert6</f>
        <v>#REF!</v>
      </c>
      <c r="GH2" s="141" t="e">
        <f>t6othertot</f>
        <v>#REF!</v>
      </c>
      <c r="GI2" s="137" t="e">
        <f>Numecodet7</f>
        <v>#REF!</v>
      </c>
      <c r="GJ2" s="137" t="e">
        <f>JJCPAt7</f>
        <v>#REF!</v>
      </c>
      <c r="GK2" s="141" t="e">
        <f>t7jjcpatot</f>
        <v>#REF!</v>
      </c>
      <c r="GL2" s="137" t="e">
        <f>Othert7</f>
        <v>#REF!</v>
      </c>
      <c r="GM2" s="141" t="e">
        <f>t7othertot</f>
        <v>#REF!</v>
      </c>
      <c r="GN2" s="137" t="e">
        <f>Numecodet8</f>
        <v>#REF!</v>
      </c>
      <c r="GO2" s="137" t="e">
        <f>JJCPAt8</f>
        <v>#REF!</v>
      </c>
      <c r="GP2" s="141" t="e">
        <f>t8jjcpatot</f>
        <v>#REF!</v>
      </c>
      <c r="GQ2" s="137" t="e">
        <f>Othert8</f>
        <v>#REF!</v>
      </c>
      <c r="GR2" s="141" t="e">
        <f>t8othertot</f>
        <v>#REF!</v>
      </c>
      <c r="GS2" s="137" t="e">
        <f>Numecodet9</f>
        <v>#REF!</v>
      </c>
      <c r="GT2" s="137" t="e">
        <f>JJCPAt9</f>
        <v>#REF!</v>
      </c>
      <c r="GU2" s="141" t="e">
        <f>t9jjcpatot</f>
        <v>#REF!</v>
      </c>
      <c r="GV2" s="137" t="e">
        <f>Othert9</f>
        <v>#REF!</v>
      </c>
      <c r="GW2" s="141" t="e">
        <f>t9othertot</f>
        <v>#REF!</v>
      </c>
      <c r="GX2" s="137" t="e">
        <f>Numcodet10</f>
        <v>#REF!</v>
      </c>
      <c r="GY2" s="137" t="e">
        <f>JJCPAt10</f>
        <v>#REF!</v>
      </c>
      <c r="GZ2" s="141" t="e">
        <f>t10jjcpatot</f>
        <v>#REF!</v>
      </c>
      <c r="HA2" s="137" t="e">
        <f>Othert10</f>
        <v>#REF!</v>
      </c>
      <c r="HB2" s="141"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customXml/itemProps3.xml><?xml version="1.0" encoding="utf-8"?>
<ds:datastoreItem xmlns:ds="http://schemas.openxmlformats.org/officeDocument/2006/customXml" ds:itemID="{AC504C14-295D-4A08-9ADD-DF591FD2A4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46</vt:i4>
      </vt:variant>
    </vt:vector>
  </HeadingPairs>
  <TitlesOfParts>
    <vt:vector size="73" baseType="lpstr">
      <vt:lpstr>CONTACT INFORMATION</vt:lpstr>
      <vt:lpstr>REPORT 1</vt:lpstr>
      <vt:lpstr>REPORT 3</vt:lpstr>
      <vt:lpstr>ARREST REPORT</vt:lpstr>
      <vt:lpstr>TREND ANALYSIS</vt:lpstr>
      <vt:lpstr>EXPENDITURE DETAILS</vt:lpstr>
      <vt:lpstr>1. JUV HALL</vt:lpstr>
      <vt:lpstr>9. AFTER SCHOOL</vt:lpstr>
      <vt:lpstr>16. MONITORING</vt:lpstr>
      <vt:lpstr>23. INT PROB SUPV</vt:lpstr>
      <vt:lpstr>27. IND MH COUNSEL</vt:lpstr>
      <vt:lpstr>29. MENTORING</vt:lpstr>
      <vt:lpstr>30. MONETARY</vt:lpstr>
      <vt:lpstr>36. REST JUSTICE</vt:lpstr>
      <vt:lpstr>44. TRAINING</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Solomon Washington</cp:lastModifiedBy>
  <cp:lastPrinted>2024-09-16T22:06:19Z</cp:lastPrinted>
  <dcterms:created xsi:type="dcterms:W3CDTF">2010-06-09T19:05:00Z</dcterms:created>
  <dcterms:modified xsi:type="dcterms:W3CDTF">2024-09-23T19:54:45Z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ies>
</file>